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FST-User\Desktop\"/>
    </mc:Choice>
  </mc:AlternateContent>
  <xr:revisionPtr revIDLastSave="0" documentId="13_ncr:1_{9CD66008-E474-485F-B939-168A26B04C05}" xr6:coauthVersionLast="36" xr6:coauthVersionMax="36" xr10:uidLastSave="{00000000-0000-0000-0000-000000000000}"/>
  <bookViews>
    <workbookView xWindow="0" yWindow="0" windowWidth="23040" windowHeight="871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POSEBNI DIO 08006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14" l="1"/>
  <c r="E172" i="14"/>
  <c r="E173" i="14"/>
  <c r="E174" i="14"/>
  <c r="E175" i="14"/>
  <c r="D63" i="14"/>
  <c r="D44" i="14"/>
  <c r="D40" i="14"/>
  <c r="D29" i="14"/>
  <c r="D30" i="14"/>
  <c r="D39" i="14" l="1"/>
  <c r="D38" i="14"/>
  <c r="D49" i="14"/>
  <c r="D193" i="14"/>
  <c r="D34" i="14"/>
  <c r="D163" i="14" l="1"/>
  <c r="D172" i="14"/>
  <c r="D171" i="14" s="1"/>
  <c r="D165" i="14" s="1"/>
  <c r="E183" i="14"/>
  <c r="D182" i="14"/>
  <c r="C182" i="14"/>
  <c r="D186" i="14"/>
  <c r="D179" i="14"/>
  <c r="D173" i="14"/>
  <c r="D137" i="14"/>
  <c r="D156" i="14"/>
  <c r="D223" i="14"/>
  <c r="D157" i="14"/>
  <c r="D152" i="14"/>
  <c r="D149" i="14"/>
  <c r="D148" i="14" s="1"/>
  <c r="D145" i="14"/>
  <c r="D144" i="14"/>
  <c r="D143" i="14"/>
  <c r="D141" i="14"/>
  <c r="D139" i="14"/>
  <c r="D138" i="14"/>
  <c r="D133" i="14"/>
  <c r="D131" i="14"/>
  <c r="D130" i="14" s="1"/>
  <c r="D128" i="14"/>
  <c r="D126" i="14"/>
  <c r="D125" i="14" s="1"/>
  <c r="D91" i="14"/>
  <c r="D96" i="14"/>
  <c r="C91" i="14"/>
  <c r="E64" i="14"/>
  <c r="E65" i="14"/>
  <c r="E66" i="14"/>
  <c r="E69" i="14"/>
  <c r="E72" i="14"/>
  <c r="D70" i="14"/>
  <c r="E70" i="14" s="1"/>
  <c r="D71" i="14"/>
  <c r="E71" i="14" s="1"/>
  <c r="C71" i="14"/>
  <c r="D53" i="14"/>
  <c r="D51" i="14"/>
  <c r="D48" i="14"/>
  <c r="D45" i="14"/>
  <c r="D42" i="14"/>
  <c r="D41" i="14"/>
  <c r="D22" i="14"/>
  <c r="C175" i="14"/>
  <c r="C184" i="14"/>
  <c r="E182" i="14" l="1"/>
  <c r="D136" i="14"/>
  <c r="C236" i="14"/>
  <c r="E238" i="14"/>
  <c r="D237" i="14"/>
  <c r="C237" i="14"/>
  <c r="C173" i="14"/>
  <c r="C172" i="14" s="1"/>
  <c r="C171" i="14" s="1"/>
  <c r="E237" i="14" l="1"/>
  <c r="C220" i="14"/>
  <c r="C136" i="14"/>
  <c r="C130" i="14"/>
  <c r="C148" i="14"/>
  <c r="C117" i="14"/>
  <c r="C100" i="14"/>
  <c r="C88" i="14"/>
  <c r="C84" i="14"/>
  <c r="C201" i="14"/>
  <c r="E213" i="14" l="1"/>
  <c r="D212" i="14"/>
  <c r="C212" i="14"/>
  <c r="C211" i="14" s="1"/>
  <c r="E210" i="14"/>
  <c r="D209" i="14"/>
  <c r="C209" i="14"/>
  <c r="E208" i="14"/>
  <c r="D207" i="14"/>
  <c r="C207" i="14"/>
  <c r="E206" i="14"/>
  <c r="E205" i="14"/>
  <c r="E203" i="14"/>
  <c r="E202" i="14"/>
  <c r="D201" i="14"/>
  <c r="E199" i="14"/>
  <c r="D198" i="14"/>
  <c r="C198" i="14"/>
  <c r="C197" i="14" s="1"/>
  <c r="E90" i="14"/>
  <c r="E236" i="14"/>
  <c r="C235" i="14"/>
  <c r="C234" i="14" s="1"/>
  <c r="C233" i="14" s="1"/>
  <c r="E232" i="14"/>
  <c r="D231" i="14"/>
  <c r="C231" i="14"/>
  <c r="C230" i="14" s="1"/>
  <c r="E229" i="14"/>
  <c r="D228" i="14"/>
  <c r="C228" i="14"/>
  <c r="E227" i="14"/>
  <c r="D226" i="14"/>
  <c r="C226" i="14"/>
  <c r="E225" i="14"/>
  <c r="E224" i="14"/>
  <c r="E222" i="14"/>
  <c r="E221" i="14"/>
  <c r="D220" i="14"/>
  <c r="E218" i="14"/>
  <c r="D217" i="14"/>
  <c r="C217" i="14"/>
  <c r="C216" i="14" s="1"/>
  <c r="E193" i="14"/>
  <c r="D192" i="14"/>
  <c r="C192" i="14"/>
  <c r="C191" i="14" s="1"/>
  <c r="C190" i="14" s="1"/>
  <c r="C189" i="14" s="1"/>
  <c r="C188" i="14" s="1"/>
  <c r="D184" i="14"/>
  <c r="D175" i="14"/>
  <c r="D169" i="14"/>
  <c r="C169" i="14"/>
  <c r="D167" i="14"/>
  <c r="C167" i="14"/>
  <c r="D161" i="14"/>
  <c r="D160" i="14" s="1"/>
  <c r="C161" i="14"/>
  <c r="C160" i="14" s="1"/>
  <c r="D155" i="14"/>
  <c r="C156" i="14"/>
  <c r="C155" i="14"/>
  <c r="E154" i="14"/>
  <c r="E150" i="14"/>
  <c r="E149" i="14"/>
  <c r="E147" i="14"/>
  <c r="D146" i="14"/>
  <c r="C146" i="14"/>
  <c r="E145" i="14"/>
  <c r="E144" i="14"/>
  <c r="E143" i="14"/>
  <c r="E142" i="14"/>
  <c r="E141" i="14"/>
  <c r="E139" i="14"/>
  <c r="E138" i="14"/>
  <c r="E137" i="14"/>
  <c r="E135" i="14"/>
  <c r="E134" i="14"/>
  <c r="E133" i="14"/>
  <c r="E132" i="14"/>
  <c r="E131" i="14"/>
  <c r="E128" i="14"/>
  <c r="E127" i="14"/>
  <c r="E126" i="14"/>
  <c r="C125" i="14"/>
  <c r="E123" i="14"/>
  <c r="D122" i="14"/>
  <c r="C122" i="14"/>
  <c r="E121" i="14"/>
  <c r="D120" i="14"/>
  <c r="C120" i="14"/>
  <c r="E119" i="14"/>
  <c r="E118" i="14"/>
  <c r="D117" i="14"/>
  <c r="E113" i="14"/>
  <c r="D112" i="14"/>
  <c r="C112" i="14"/>
  <c r="C111" i="14" s="1"/>
  <c r="E110" i="14"/>
  <c r="C109" i="14"/>
  <c r="C108" i="14" s="1"/>
  <c r="E108" i="14" s="1"/>
  <c r="E107" i="14"/>
  <c r="D105" i="14"/>
  <c r="C105" i="14"/>
  <c r="C104" i="14" s="1"/>
  <c r="E102" i="14"/>
  <c r="E101" i="14"/>
  <c r="D100" i="14"/>
  <c r="D98" i="14"/>
  <c r="C98" i="14"/>
  <c r="E97" i="14"/>
  <c r="E96" i="14"/>
  <c r="E95" i="14"/>
  <c r="E94" i="14"/>
  <c r="E89" i="14"/>
  <c r="D88" i="14"/>
  <c r="E87" i="14"/>
  <c r="D84" i="14"/>
  <c r="E82" i="14"/>
  <c r="D81" i="14"/>
  <c r="C81" i="14"/>
  <c r="E80" i="14"/>
  <c r="D79" i="14"/>
  <c r="C79" i="14"/>
  <c r="E78" i="14"/>
  <c r="D77" i="14"/>
  <c r="C77" i="14"/>
  <c r="D68" i="14"/>
  <c r="C63" i="14"/>
  <c r="C62" i="14" s="1"/>
  <c r="E58" i="14"/>
  <c r="E57" i="14"/>
  <c r="D56" i="14"/>
  <c r="C56" i="14"/>
  <c r="E55" i="14"/>
  <c r="D54" i="14"/>
  <c r="C54" i="14"/>
  <c r="E53" i="14"/>
  <c r="E52" i="14"/>
  <c r="E51" i="14"/>
  <c r="E49" i="14"/>
  <c r="E48" i="14"/>
  <c r="E47" i="14"/>
  <c r="E46" i="14"/>
  <c r="E45" i="14"/>
  <c r="E43" i="14"/>
  <c r="E42" i="14"/>
  <c r="E41" i="14"/>
  <c r="C40" i="14"/>
  <c r="E39" i="14"/>
  <c r="E38" i="14"/>
  <c r="D37" i="14"/>
  <c r="C37" i="14"/>
  <c r="E34" i="14"/>
  <c r="D33" i="14"/>
  <c r="C33" i="14"/>
  <c r="E32" i="14"/>
  <c r="C30" i="14"/>
  <c r="E25" i="14"/>
  <c r="D24" i="14"/>
  <c r="C24" i="14"/>
  <c r="E21" i="14"/>
  <c r="D20" i="14"/>
  <c r="C20" i="14"/>
  <c r="E19" i="14"/>
  <c r="D18" i="14"/>
  <c r="C18" i="14"/>
  <c r="E16" i="14"/>
  <c r="D15" i="14"/>
  <c r="C15" i="14"/>
  <c r="E14" i="14"/>
  <c r="D13" i="14"/>
  <c r="C13" i="14"/>
  <c r="E12" i="14"/>
  <c r="D11" i="14"/>
  <c r="C11" i="14"/>
  <c r="D17" i="14" l="1"/>
  <c r="D67" i="14"/>
  <c r="E67" i="14" s="1"/>
  <c r="E68" i="14"/>
  <c r="C164" i="14"/>
  <c r="C163" i="14" s="1"/>
  <c r="C166" i="14"/>
  <c r="C165" i="14" s="1"/>
  <c r="D200" i="14"/>
  <c r="D62" i="14"/>
  <c r="E63" i="14"/>
  <c r="C200" i="14"/>
  <c r="C196" i="14" s="1"/>
  <c r="E15" i="14"/>
  <c r="E201" i="14"/>
  <c r="D235" i="14"/>
  <c r="E207" i="14"/>
  <c r="C116" i="14"/>
  <c r="E212" i="14"/>
  <c r="D211" i="14"/>
  <c r="E211" i="14" s="1"/>
  <c r="E209" i="14"/>
  <c r="E198" i="14"/>
  <c r="E91" i="14"/>
  <c r="E220" i="14"/>
  <c r="E136" i="14"/>
  <c r="D197" i="14"/>
  <c r="E130" i="14"/>
  <c r="E18" i="14"/>
  <c r="E54" i="14"/>
  <c r="E120" i="14"/>
  <c r="D166" i="14"/>
  <c r="E217" i="14"/>
  <c r="E226" i="14"/>
  <c r="E88" i="14"/>
  <c r="C29" i="14"/>
  <c r="E33" i="14"/>
  <c r="C10" i="14"/>
  <c r="E13" i="14"/>
  <c r="E231" i="14"/>
  <c r="E228" i="14"/>
  <c r="C219" i="14"/>
  <c r="C215" i="14" s="1"/>
  <c r="C214" i="14" s="1"/>
  <c r="E192" i="14"/>
  <c r="E171" i="14"/>
  <c r="C124" i="14"/>
  <c r="E148" i="14"/>
  <c r="E146" i="14"/>
  <c r="E125" i="14"/>
  <c r="E122" i="14"/>
  <c r="E100" i="14"/>
  <c r="C83" i="14"/>
  <c r="E84" i="14"/>
  <c r="E81" i="14"/>
  <c r="C76" i="14"/>
  <c r="E79" i="14"/>
  <c r="E62" i="14"/>
  <c r="E56" i="14"/>
  <c r="E40" i="14"/>
  <c r="E30" i="14"/>
  <c r="E24" i="14"/>
  <c r="C17" i="14"/>
  <c r="E20" i="14"/>
  <c r="D10" i="14"/>
  <c r="E11" i="14"/>
  <c r="D111" i="14"/>
  <c r="E111" i="14" s="1"/>
  <c r="E112" i="14"/>
  <c r="E37" i="14"/>
  <c r="E77" i="14"/>
  <c r="D76" i="14"/>
  <c r="D83" i="14"/>
  <c r="E105" i="14"/>
  <c r="D104" i="14"/>
  <c r="E117" i="14"/>
  <c r="E155" i="14"/>
  <c r="D36" i="14"/>
  <c r="C44" i="14"/>
  <c r="E44" i="14" s="1"/>
  <c r="E109" i="14"/>
  <c r="D116" i="14"/>
  <c r="D124" i="14"/>
  <c r="D191" i="14"/>
  <c r="D216" i="14"/>
  <c r="D219" i="14"/>
  <c r="D230" i="14"/>
  <c r="E230" i="14" s="1"/>
  <c r="D28" i="14" l="1"/>
  <c r="D9" i="14"/>
  <c r="E116" i="14"/>
  <c r="C75" i="14"/>
  <c r="C74" i="14" s="1"/>
  <c r="C115" i="14"/>
  <c r="C114" i="14" s="1"/>
  <c r="E219" i="14"/>
  <c r="E165" i="14"/>
  <c r="C195" i="14"/>
  <c r="C194" i="14" s="1"/>
  <c r="C8" i="14"/>
  <c r="C7" i="14" s="1"/>
  <c r="E124" i="14"/>
  <c r="E200" i="14"/>
  <c r="E197" i="14"/>
  <c r="E10" i="14"/>
  <c r="C9" i="14"/>
  <c r="D164" i="14"/>
  <c r="E163" i="14" s="1"/>
  <c r="E76" i="14"/>
  <c r="E17" i="14"/>
  <c r="E83" i="14"/>
  <c r="E216" i="14"/>
  <c r="D215" i="14"/>
  <c r="E191" i="14"/>
  <c r="D190" i="14"/>
  <c r="C36" i="14"/>
  <c r="C28" i="14" s="1"/>
  <c r="C27" i="14" s="1"/>
  <c r="C26" i="14" s="1"/>
  <c r="D115" i="14"/>
  <c r="E29" i="14"/>
  <c r="E104" i="14"/>
  <c r="D75" i="14"/>
  <c r="E235" i="14"/>
  <c r="D234" i="14"/>
  <c r="C73" i="14" l="1"/>
  <c r="C6" i="14" s="1"/>
  <c r="E164" i="14"/>
  <c r="E36" i="14"/>
  <c r="E234" i="14"/>
  <c r="D233" i="14"/>
  <c r="E233" i="14" s="1"/>
  <c r="D114" i="14"/>
  <c r="E114" i="14" s="1"/>
  <c r="E115" i="14"/>
  <c r="D189" i="14"/>
  <c r="E190" i="14"/>
  <c r="D27" i="14"/>
  <c r="E28" i="14"/>
  <c r="E9" i="14"/>
  <c r="D8" i="14"/>
  <c r="E75" i="14"/>
  <c r="E74" i="14" s="1"/>
  <c r="D74" i="14"/>
  <c r="D73" i="14" s="1"/>
  <c r="E215" i="14"/>
  <c r="D214" i="14"/>
  <c r="D196" i="14" s="1"/>
  <c r="E196" i="14" s="1"/>
  <c r="D195" i="14" l="1"/>
  <c r="E195" i="14" s="1"/>
  <c r="E73" i="14"/>
  <c r="E27" i="14"/>
  <c r="D26" i="14"/>
  <c r="E214" i="14"/>
  <c r="E8" i="14"/>
  <c r="D7" i="14"/>
  <c r="E189" i="14"/>
  <c r="D188" i="14"/>
  <c r="E188" i="14" s="1"/>
  <c r="E26" i="14" l="1"/>
  <c r="D194" i="14"/>
  <c r="E194" i="14" s="1"/>
  <c r="E7" i="14"/>
  <c r="D6" i="14" l="1"/>
  <c r="E6" i="14" s="1"/>
  <c r="C35" i="7"/>
  <c r="I24" i="1" l="1"/>
  <c r="K24" i="1" s="1"/>
  <c r="K25" i="1"/>
  <c r="J25" i="1"/>
  <c r="J24" i="1" l="1"/>
  <c r="D10" i="8"/>
  <c r="F11" i="8"/>
  <c r="F10" i="8" s="1"/>
  <c r="E11" i="8"/>
  <c r="H11" i="8" s="1"/>
  <c r="D11" i="8"/>
  <c r="C11" i="8"/>
  <c r="G11" i="8" s="1"/>
  <c r="D13" i="8"/>
  <c r="F14" i="8"/>
  <c r="F13" i="8" s="1"/>
  <c r="E14" i="8"/>
  <c r="H14" i="8" s="1"/>
  <c r="D14" i="8"/>
  <c r="C14" i="8"/>
  <c r="C13" i="8" s="1"/>
  <c r="F16" i="8"/>
  <c r="E16" i="8"/>
  <c r="H16" i="8" s="1"/>
  <c r="D16" i="8"/>
  <c r="C16" i="8"/>
  <c r="F18" i="8"/>
  <c r="E18" i="8"/>
  <c r="H18" i="8" s="1"/>
  <c r="D18" i="8"/>
  <c r="C18" i="8"/>
  <c r="H19" i="8"/>
  <c r="G19" i="8"/>
  <c r="G18" i="8"/>
  <c r="H17" i="8"/>
  <c r="G17" i="8"/>
  <c r="G16" i="8"/>
  <c r="H15" i="8"/>
  <c r="G15" i="8"/>
  <c r="G14" i="8"/>
  <c r="H12" i="8"/>
  <c r="G12" i="8"/>
  <c r="E17" i="7"/>
  <c r="H22" i="1" s="1"/>
  <c r="D17" i="7"/>
  <c r="G22" i="1" s="1"/>
  <c r="F19" i="7"/>
  <c r="C19" i="7"/>
  <c r="F24" i="7"/>
  <c r="C24" i="7"/>
  <c r="F22" i="7"/>
  <c r="H22" i="7" s="1"/>
  <c r="C22" i="7"/>
  <c r="H26" i="7"/>
  <c r="G26" i="7"/>
  <c r="H25" i="7"/>
  <c r="G25" i="7"/>
  <c r="H24" i="7"/>
  <c r="H23" i="7"/>
  <c r="G23" i="7"/>
  <c r="H21" i="7"/>
  <c r="G21" i="7"/>
  <c r="H20" i="7"/>
  <c r="G20" i="7"/>
  <c r="H19" i="7"/>
  <c r="G22" i="7" l="1"/>
  <c r="F18" i="7"/>
  <c r="G19" i="7"/>
  <c r="C18" i="7"/>
  <c r="E13" i="8"/>
  <c r="E10" i="8"/>
  <c r="C10" i="8"/>
  <c r="G10" i="8" s="1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K21" i="1" s="1"/>
  <c r="C10" i="7"/>
  <c r="F21" i="1" s="1"/>
  <c r="F28" i="7"/>
  <c r="C28" i="7"/>
  <c r="G28" i="7" s="1"/>
  <c r="F30" i="7"/>
  <c r="C30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G13" i="10" s="1"/>
  <c r="F11" i="10"/>
  <c r="F10" i="10" s="1"/>
  <c r="E11" i="10"/>
  <c r="H11" i="10" s="1"/>
  <c r="D11" i="10"/>
  <c r="C11" i="10"/>
  <c r="H14" i="10"/>
  <c r="G14" i="10"/>
  <c r="H12" i="10"/>
  <c r="G12" i="10"/>
  <c r="F11" i="4"/>
  <c r="E11" i="4"/>
  <c r="D11" i="4"/>
  <c r="C11" i="4"/>
  <c r="F13" i="4"/>
  <c r="E13" i="4"/>
  <c r="D13" i="4"/>
  <c r="C13" i="4"/>
  <c r="G13" i="4" s="1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G11" i="10" l="1"/>
  <c r="F27" i="7"/>
  <c r="H27" i="7" s="1"/>
  <c r="G30" i="7"/>
  <c r="H28" i="7"/>
  <c r="D10" i="10"/>
  <c r="H45" i="4"/>
  <c r="H41" i="4"/>
  <c r="H33" i="4"/>
  <c r="H17" i="4"/>
  <c r="H13" i="4"/>
  <c r="H13" i="10"/>
  <c r="E27" i="4"/>
  <c r="H27" i="4" s="1"/>
  <c r="F27" i="4"/>
  <c r="E10" i="10"/>
  <c r="H10" i="10" s="1"/>
  <c r="C32" i="7"/>
  <c r="G43" i="4"/>
  <c r="G41" i="4"/>
  <c r="G35" i="4"/>
  <c r="G33" i="4"/>
  <c r="G31" i="4"/>
  <c r="G28" i="4"/>
  <c r="G23" i="4"/>
  <c r="G17" i="4"/>
  <c r="G11" i="4"/>
  <c r="F32" i="7"/>
  <c r="F17" i="7" s="1"/>
  <c r="I22" i="1" s="1"/>
  <c r="K22" i="1" s="1"/>
  <c r="J21" i="1"/>
  <c r="D27" i="4"/>
  <c r="C10" i="10"/>
  <c r="C27" i="7"/>
  <c r="G27" i="7" s="1"/>
  <c r="H35" i="7"/>
  <c r="G10" i="10"/>
  <c r="D10" i="4"/>
  <c r="G45" i="4"/>
  <c r="H43" i="4"/>
  <c r="H35" i="4"/>
  <c r="H31" i="4"/>
  <c r="H23" i="4"/>
  <c r="H15" i="4"/>
  <c r="H11" i="4"/>
  <c r="C27" i="4"/>
  <c r="G27" i="4" s="1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F34" i="2" s="1"/>
  <c r="H34" i="2" s="1"/>
  <c r="C42" i="2"/>
  <c r="F46" i="2"/>
  <c r="C46" i="2"/>
  <c r="F48" i="2"/>
  <c r="C48" i="2"/>
  <c r="F52" i="2"/>
  <c r="C52" i="2"/>
  <c r="F55" i="2"/>
  <c r="C55" i="2"/>
  <c r="F59" i="2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C74" i="2"/>
  <c r="G78" i="2"/>
  <c r="F77" i="2"/>
  <c r="C77" i="2"/>
  <c r="H32" i="7" l="1"/>
  <c r="F71" i="2"/>
  <c r="F58" i="2"/>
  <c r="F51" i="2"/>
  <c r="G51" i="2" s="1"/>
  <c r="F45" i="2"/>
  <c r="F12" i="2"/>
  <c r="H12" i="2" s="1"/>
  <c r="C17" i="7"/>
  <c r="G83" i="6"/>
  <c r="G78" i="6"/>
  <c r="C51" i="2"/>
  <c r="C45" i="2"/>
  <c r="C34" i="2"/>
  <c r="G34" i="2" s="1"/>
  <c r="G58" i="2"/>
  <c r="H58" i="2"/>
  <c r="G45" i="2"/>
  <c r="H45" i="2"/>
  <c r="H51" i="2"/>
  <c r="F65" i="2"/>
  <c r="H65" i="2" s="1"/>
  <c r="E10" i="2"/>
  <c r="H10" i="1" s="1"/>
  <c r="G10" i="4"/>
  <c r="H17" i="7"/>
  <c r="C65" i="2"/>
  <c r="G65" i="2" s="1"/>
  <c r="D10" i="2"/>
  <c r="G10" i="1" s="1"/>
  <c r="G32" i="7"/>
  <c r="H10" i="4"/>
  <c r="C12" i="2"/>
  <c r="C11" i="2" s="1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11" i="6" l="1"/>
  <c r="G84" i="2"/>
  <c r="G80" i="2"/>
  <c r="G12" i="2"/>
  <c r="F11" i="2"/>
  <c r="G11" i="2" s="1"/>
  <c r="F10" i="1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I11" i="1" s="1"/>
  <c r="G87" i="2"/>
  <c r="C76" i="2"/>
  <c r="C70" i="2" s="1"/>
  <c r="F11" i="1" s="1"/>
  <c r="G23" i="1"/>
  <c r="G26" i="1" s="1"/>
  <c r="H12" i="1"/>
  <c r="H76" i="2" l="1"/>
  <c r="J11" i="1"/>
  <c r="K11" i="1"/>
  <c r="G76" i="2"/>
  <c r="C10" i="2"/>
  <c r="I10" i="1"/>
  <c r="K10" i="1" s="1"/>
  <c r="F10" i="2"/>
  <c r="H10" i="2" s="1"/>
  <c r="H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J10" i="1" l="1"/>
  <c r="I12" i="1"/>
  <c r="K12" i="1" s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H27" i="1" s="1"/>
  <c r="G16" i="1"/>
  <c r="G27" i="1" s="1"/>
  <c r="J12" i="1" l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<sst xmlns="http://schemas.openxmlformats.org/spreadsheetml/2006/main" count="1031" uniqueCount="596">
  <si>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</si>
  <si>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</si>
  <si>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</si>
  <si>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</si>
  <si>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</si>
  <si>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</si>
  <si>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</si>
  <si>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</si>
  <si>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</si>
  <si>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</si>
  <si>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</si>
  <si>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</si>
  <si>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</si>
  <si>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</si>
  <si>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</si>
  <si>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</si>
  <si>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</si>
  <si>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</si>
  <si>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</si>
  <si>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</si>
  <si>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</si>
  <si>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</si>
  <si>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</si>
  <si>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</si>
  <si>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</si>
  <si>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</si>
  <si>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</si>
  <si>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</si>
  <si>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</si>
  <si>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</si>
  <si>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</si>
  <si>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</si>
  <si>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</si>
  <si>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</si>
  <si>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</si>
  <si>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</si>
  <si>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</si>
  <si>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</si>
  <si>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</si>
  <si>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</si>
  <si>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</si>
  <si>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</si>
  <si>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</si>
  <si>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</si>
  <si>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</si>
  <si>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</si>
  <si>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</si>
  <si>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</si>
  <si>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</si>
  <si>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</si>
  <si>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</si>
  <si>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</si>
  <si>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</si>
  <si>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</si>
  <si>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</si>
  <si>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</si>
  <si>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</si>
  <si>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</si>
  <si>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</si>
  <si>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</si>
  <si>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</si>
  <si>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</si>
  <si>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</si>
  <si>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</si>
  <si>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</si>
  <si>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</si>
  <si>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</si>
  <si>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</si>
  <si>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</si>
  <si>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</si>
  <si>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</si>
  <si>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</si>
  <si>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</si>
  <si>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</si>
  <si>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</si>
  <si>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</si>
  <si>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</si>
  <si>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</si>
  <si>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</si>
  <si>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</si>
  <si>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</si>
  <si>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</si>
  <si>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</si>
  <si>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</si>
  <si>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</si>
  <si>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</si>
  <si>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</si>
  <si>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</si>
  <si>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</si>
  <si>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</si>
  <si>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</si>
  <si>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</si>
  <si>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</si>
  <si>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</si>
  <si>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</si>
  <si>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</si>
  <si>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</si>
  <si>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</si>
  <si>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</si>
  <si>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</si>
  <si>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</si>
  <si>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</si>
  <si>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</si>
  <si>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</si>
  <si>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</si>
  <si>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</si>
  <si>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</si>
  <si>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</si>
  <si>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</si>
  <si>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</si>
  <si>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</si>
  <si>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</si>
  <si>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</si>
  <si>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</si>
  <si>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</si>
  <si>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</si>
  <si>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</si>
  <si>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</si>
  <si>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</si>
  <si>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</si>
  <si>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</si>
  <si>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</si>
  <si>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</si>
  <si>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</si>
  <si>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</si>
  <si>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</si>
  <si>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</si>
  <si>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</si>
  <si>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</si>
  <si>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</si>
  <si>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</si>
  <si>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</si>
  <si>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</si>
  <si>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</si>
  <si>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</si>
  <si>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</si>
  <si>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</si>
  <si>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</si>
  <si>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</si>
  <si>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</si>
  <si>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</si>
  <si>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</si>
  <si>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</si>
  <si>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</si>
  <si>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</si>
  <si>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</si>
  <si>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</si>
  <si>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</si>
  <si>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</si>
  <si>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</si>
  <si>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</si>
  <si>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</si>
  <si>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</si>
  <si>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</si>
  <si>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</si>
  <si>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</si>
  <si>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</si>
  <si>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</si>
  <si>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</si>
  <si>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</si>
  <si>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</si>
  <si>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</si>
  <si>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</si>
  <si>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</si>
  <si>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</si>
  <si>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</si>
  <si>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</si>
  <si>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</si>
  <si>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</si>
  <si>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</si>
  <si>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</si>
  <si>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</si>
  <si>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</si>
  <si>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</si>
  <si>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</si>
  <si>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</si>
  <si>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</si>
  <si>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</si>
  <si>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</si>
  <si>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</si>
  <si>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</si>
  <si>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</si>
  <si>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</si>
  <si>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</si>
  <si>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</si>
  <si>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</si>
  <si>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</si>
  <si>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</si>
  <si>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</si>
  <si>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</si>
  <si>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</si>
  <si>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</si>
  <si>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</si>
  <si>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</si>
  <si>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</si>
  <si>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</si>
  <si>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</si>
  <si>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</si>
  <si>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</si>
  <si>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</si>
  <si>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</si>
  <si>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</si>
  <si>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</si>
  <si>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</si>
  <si>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</si>
  <si>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</si>
  <si>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</si>
  <si>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</si>
  <si>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</si>
  <si>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</si>
  <si>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</si>
  <si>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</si>
  <si>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</si>
  <si>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</si>
  <si>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</si>
  <si>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</si>
  <si>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</si>
  <si>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</si>
  <si>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</si>
  <si>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</si>
  <si>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</si>
  <si>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</si>
  <si>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</si>
  <si>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</si>
  <si>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</si>
  <si>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</si>
  <si>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</si>
  <si>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</si>
  <si>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</si>
  <si>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</si>
  <si>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</si>
  <si>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</si>
  <si>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</si>
  <si>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</si>
  <si>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</si>
  <si>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</si>
  <si>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</si>
  <si>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</si>
  <si>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</si>
  <si>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</si>
  <si>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</si>
  <si>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</si>
  <si>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</si>
  <si>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</si>
  <si>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</si>
  <si>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</si>
  <si>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</si>
  <si>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</si>
  <si>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</si>
  <si>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</si>
  <si>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</si>
  <si>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</si>
  <si>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</si>
  <si>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</si>
  <si>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</si>
  <si>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</si>
  <si>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</si>
  <si>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</si>
  <si>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</si>
  <si>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</si>
  <si>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</si>
  <si>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</si>
  <si>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</si>
  <si>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</si>
  <si>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</si>
  <si>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</si>
  <si>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</si>
  <si>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</si>
  <si>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</si>
  <si>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</si>
  <si>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</si>
  <si>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</si>
  <si>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</si>
  <si>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</si>
  <si>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</si>
  <si>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</si>
  <si>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</si>
  <si>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</si>
  <si>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</si>
  <si>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</si>
  <si>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</si>
  <si>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</si>
  <si>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</si>
  <si>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</si>
  <si>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</si>
  <si>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</si>
  <si>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</si>
  <si>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</si>
  <si>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</si>
  <si>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</si>
  <si>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</si>
  <si>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</si>
  <si>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</si>
  <si>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</si>
  <si>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</si>
  <si>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</si>
  <si>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</si>
  <si>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</si>
  <si>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</si>
  <si>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</si>
  <si>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</si>
  <si>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</si>
  <si>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</si>
  <si>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</si>
  <si>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</si>
  <si>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</si>
  <si>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</si>
  <si>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</si>
  <si>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</si>
  <si>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</si>
  <si>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</si>
  <si>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</si>
  <si>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</si>
  <si>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</si>
  <si>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</si>
  <si>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</si>
  <si>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</si>
  <si>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</si>
  <si>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</si>
  <si>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</si>
  <si>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</si>
  <si>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</si>
  <si>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</si>
  <si>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</si>
  <si>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</si>
  <si>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</si>
  <si>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</si>
  <si>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</si>
  <si>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</si>
  <si>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</si>
  <si>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</si>
  <si>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</si>
  <si>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</si>
  <si>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</si>
  <si>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</si>
  <si>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</si>
  <si>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</si>
  <si>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</si>
  <si>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</si>
  <si>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</si>
  <si>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</si>
  <si>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</si>
  <si>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</si>
  <si>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</si>
  <si>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</si>
  <si>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</si>
  <si>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</si>
  <si>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</si>
  <si>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</si>
  <si>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</si>
  <si>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</si>
  <si>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</si>
  <si>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</si>
  <si>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</si>
  <si>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</si>
  <si>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</si>
  <si>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</si>
  <si>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</si>
  <si>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</si>
  <si>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</si>
  <si>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</si>
  <si>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</si>
  <si>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</si>
  <si>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</si>
  <si>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</si>
  <si>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</si>
  <si>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</si>
  <si>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</si>
  <si>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</si>
  <si>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</si>
  <si>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</si>
  <si>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</si>
  <si>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</si>
  <si>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</si>
  <si>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</si>
  <si>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</si>
  <si>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</si>
  <si>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</si>
  <si>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</si>
  <si>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</si>
  <si>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</si>
  <si>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</si>
  <si>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</si>
  <si>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</si>
  <si>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</si>
  <si>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</si>
  <si>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</si>
  <si>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</si>
  <si>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</si>
  <si>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</si>
  <si>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</si>
  <si>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</si>
  <si>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</si>
  <si>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</si>
  <si>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</si>
  <si>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</si>
  <si>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</si>
  <si>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</si>
  <si>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</si>
  <si>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</si>
  <si>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</si>
  <si>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</si>
  <si>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</si>
  <si>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</si>
  <si>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</si>
  <si>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</si>
  <si>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</si>
  <si>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</si>
  <si>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</si>
  <si>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</si>
  <si>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</si>
  <si>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</si>
  <si>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</si>
  <si>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</si>
  <si>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</si>
  <si>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</si>
  <si>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</si>
  <si>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</si>
  <si>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</si>
  <si>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</si>
  <si>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</si>
  <si>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</si>
  <si>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</si>
  <si>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</si>
  <si>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</si>
  <si>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</si>
  <si>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</si>
  <si>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</si>
  <si>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</si>
  <si>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</si>
  <si>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</si>
  <si>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</si>
  <si>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</si>
  <si>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</si>
  <si>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</si>
  <si>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</si>
  <si>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</si>
  <si>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</si>
  <si>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</si>
  <si>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</si>
  <si>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</si>
  <si>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</si>
  <si>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</si>
  <si>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</si>
  <si>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</si>
  <si>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</si>
  <si>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</si>
  <si>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</si>
  <si>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</si>
  <si>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</si>
  <si>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</si>
  <si>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</si>
  <si>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</si>
  <si>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</si>
  <si>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</si>
  <si>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</si>
  <si>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</si>
  <si>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</si>
  <si>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</si>
  <si>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</si>
  <si>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</si>
  <si>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</si>
  <si>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</si>
  <si>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</si>
  <si>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</si>
  <si>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</si>
  <si>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</si>
  <si>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</si>
  <si>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</si>
  <si>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</si>
  <si>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</si>
  <si>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</si>
  <si>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</si>
  <si>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</si>
  <si>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</si>
  <si>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</si>
  <si>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</si>
  <si>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</si>
  <si>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</si>
  <si>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</si>
  <si>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</si>
  <si>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</si>
  <si>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</si>
  <si>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</si>
  <si>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</si>
  <si>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</si>
  <si>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</si>
  <si>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</si>
  <si>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</si>
  <si>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</si>
  <si>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</si>
  <si>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</si>
  <si>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</si>
  <si>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</si>
  <si>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</si>
  <si>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</si>
  <si>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</si>
  <si>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</si>
  <si>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</si>
  <si>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</si>
  <si>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</si>
  <si>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</si>
  <si>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</si>
  <si>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</si>
  <si>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</si>
  <si>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</si>
  <si>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</si>
  <si>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</si>
  <si>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</si>
  <si>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</si>
  <si>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</si>
  <si>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</si>
  <si>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</si>
  <si>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</si>
  <si>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</si>
  <si>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</si>
  <si>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</si>
  <si>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</si>
  <si>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</si>
  <si>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</si>
  <si>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</si>
  <si>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</si>
  <si>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</si>
  <si>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</si>
  <si>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</si>
  <si>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</si>
  <si>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</si>
  <si>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</si>
  <si>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</si>
  <si>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</si>
  <si>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</si>
  <si>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A621004</t>
  </si>
  <si>
    <t>A622122</t>
  </si>
  <si>
    <t>A679077</t>
  </si>
  <si>
    <t>A679091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</si>
  <si>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</si>
  <si>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</si>
  <si>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</si>
  <si>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</si>
  <si>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</si>
  <si>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</si>
  <si>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</si>
  <si>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</si>
  <si>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</si>
  <si>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</si>
  <si>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</si>
  <si>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</si>
  <si>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</si>
  <si>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</si>
  <si>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</si>
  <si>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</si>
  <si>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</si>
  <si>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</si>
  <si>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</si>
  <si>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</si>
  <si>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</si>
  <si>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</si>
  <si>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</si>
  <si>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</si>
  <si>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</si>
  <si>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</si>
  <si>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</si>
  <si>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</si>
  <si>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</si>
  <si>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</si>
  <si>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</si>
  <si>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t>POLUGODIŠNJI IZVJEŠTAJ O IZVRŠENJU FINANCIJSKOG PLANA POMORSKOG FAKULTET U SPLITU
ZA PRVO POLUGODIŠTE 2023. GODINE</t>
  </si>
  <si>
    <t>Šifra</t>
  </si>
  <si>
    <t>Naziv</t>
  </si>
  <si>
    <t>Indeks</t>
  </si>
  <si>
    <t>4=3/2*100</t>
  </si>
  <si>
    <t xml:space="preserve">P1234 </t>
  </si>
  <si>
    <t>PROGRAM 1</t>
  </si>
  <si>
    <t>Plaće</t>
  </si>
  <si>
    <t>Negativne tečajne razlike i razlike zbog primjene valutne kaluzule</t>
  </si>
  <si>
    <t>Ostale naknade građanima i kućanstvima</t>
  </si>
  <si>
    <t xml:space="preserve">Naknade građanima i kućanstvima </t>
  </si>
  <si>
    <t xml:space="preserve">Ostali rashodi za zaposlene </t>
  </si>
  <si>
    <t>Doprinosi za obavezno zdravstveno osiguranje</t>
  </si>
  <si>
    <t xml:space="preserve">Ostale naknade troškova zaposlenima </t>
  </si>
  <si>
    <t xml:space="preserve">Ostali rashodi  </t>
  </si>
  <si>
    <t xml:space="preserve">Tekuće donacije  </t>
  </si>
  <si>
    <t>Službena, radna i zaština odjeća i obuća</t>
  </si>
  <si>
    <t>Knjige, umjetnička djela i ostalo</t>
  </si>
  <si>
    <t>Dodatna ulaganja u prijevozna sredstva</t>
  </si>
  <si>
    <r>
      <t xml:space="preserve">AKTIVNOST 1 </t>
    </r>
    <r>
      <rPr>
        <i/>
        <sz val="12"/>
        <color rgb="FF002060"/>
        <rFont val="Calibri"/>
        <family val="2"/>
        <charset val="238"/>
        <scheme val="minor"/>
      </rPr>
      <t>(redovni)</t>
    </r>
  </si>
  <si>
    <r>
      <t xml:space="preserve">AKTIVNOST 2 </t>
    </r>
    <r>
      <rPr>
        <i/>
        <sz val="12"/>
        <color rgb="FF002060"/>
        <rFont val="Calibri"/>
        <family val="2"/>
        <charset val="238"/>
        <scheme val="minor"/>
      </rPr>
      <t>(programski)</t>
    </r>
  </si>
  <si>
    <r>
      <t xml:space="preserve">AKTIVNOST 4 </t>
    </r>
    <r>
      <rPr>
        <i/>
        <sz val="12"/>
        <color rgb="FF002060"/>
        <rFont val="Calibri"/>
        <family val="2"/>
        <charset val="238"/>
        <scheme val="minor"/>
      </rPr>
      <t>(redovna djelatnost SveuST)</t>
    </r>
  </si>
  <si>
    <r>
      <t xml:space="preserve">AKTIVNOST 5 </t>
    </r>
    <r>
      <rPr>
        <i/>
        <sz val="12"/>
        <color rgb="FF002060"/>
        <rFont val="Calibri"/>
        <family val="2"/>
        <charset val="238"/>
        <scheme val="minor"/>
      </rPr>
      <t>(projekti SveuST)</t>
    </r>
  </si>
  <si>
    <r>
      <t>AKTIVNOST 2</t>
    </r>
    <r>
      <rPr>
        <i/>
        <sz val="12"/>
        <color rgb="FF002060"/>
        <rFont val="Calibri"/>
        <family val="2"/>
        <charset val="238"/>
        <scheme val="minor"/>
      </rPr>
      <t xml:space="preserve"> (programski)</t>
    </r>
  </si>
  <si>
    <t>Izvorni plan i
Plan tekuće godine</t>
  </si>
  <si>
    <t>Ostvarenje / izvršenje
01.01.24.-30.06.24.</t>
  </si>
  <si>
    <t>Naknade ostalih troškova</t>
  </si>
  <si>
    <t>Naknada za korištenje privatnog automobila u službene svrhe</t>
  </si>
  <si>
    <t>Računala i računalna oprema</t>
  </si>
  <si>
    <t>GODIŠNJI IZVJEŠTAJ O IZVRŠENJU FINANCIJSKOG PLANA ZA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</si>
</sst>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2060"/>
      </right>
      <top style="hair">
        <color indexed="64"/>
      </top>
      <bottom style="hair">
        <color indexed="64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hair">
        <color rgb="FF002060"/>
      </right>
      <top style="thin">
        <color rgb="FF002060"/>
      </top>
      <bottom/>
      <diagonal/>
    </border>
    <border>
      <left style="hair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hair">
        <color rgb="FF002060"/>
      </right>
      <top style="thin">
        <color indexed="64"/>
      </top>
      <bottom/>
      <diagonal/>
    </border>
    <border>
      <left style="hair">
        <color rgb="FF002060"/>
      </left>
      <right style="hair">
        <color rgb="FF002060"/>
      </right>
      <top style="thin">
        <color indexed="64"/>
      </top>
      <bottom/>
      <diagonal/>
    </border>
    <border>
      <left style="hair">
        <color rgb="FF002060"/>
      </left>
      <right style="thin">
        <color rgb="FF002060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396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0" fontId="34" fillId="2" borderId="0" xfId="13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3" fontId="35" fillId="0" borderId="0" xfId="0" applyNumberFormat="1" applyFont="1"/>
    <xf numFmtId="3" fontId="36" fillId="0" borderId="0" xfId="0" applyNumberFormat="1" applyFont="1" applyAlignment="1">
      <alignment horizontal="left"/>
    </xf>
    <xf numFmtId="3" fontId="37" fillId="2" borderId="0" xfId="0" applyNumberFormat="1" applyFont="1" applyFill="1" applyAlignment="1">
      <alignment vertical="center"/>
    </xf>
    <xf numFmtId="3" fontId="37" fillId="28" borderId="0" xfId="0" applyNumberFormat="1" applyFont="1" applyFill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3" fontId="37" fillId="0" borderId="0" xfId="0" applyNumberFormat="1" applyFont="1"/>
    <xf numFmtId="0" fontId="34" fillId="28" borderId="9" xfId="0" applyFont="1" applyFill="1" applyBorder="1" applyAlignment="1">
      <alignment horizontal="center" vertical="center" wrapText="1"/>
    </xf>
    <xf numFmtId="3" fontId="34" fillId="28" borderId="9" xfId="0" applyNumberFormat="1" applyFont="1" applyFill="1" applyBorder="1" applyAlignment="1">
      <alignment horizontal="center" vertical="center" wrapText="1"/>
    </xf>
    <xf numFmtId="3" fontId="38" fillId="28" borderId="9" xfId="0" applyNumberFormat="1" applyFont="1" applyFill="1" applyBorder="1" applyAlignment="1">
      <alignment horizontal="center" vertical="center" wrapText="1"/>
    </xf>
    <xf numFmtId="3" fontId="39" fillId="0" borderId="9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3" fontId="39" fillId="0" borderId="0" xfId="0" applyNumberFormat="1" applyFont="1"/>
    <xf numFmtId="3" fontId="37" fillId="28" borderId="9" xfId="0" applyNumberFormat="1" applyFont="1" applyFill="1" applyBorder="1" applyAlignment="1">
      <alignment horizontal="left" vertical="center"/>
    </xf>
    <xf numFmtId="0" fontId="37" fillId="28" borderId="9" xfId="0" applyFont="1" applyFill="1" applyBorder="1" applyAlignment="1">
      <alignment horizontal="left" vertical="center" wrapText="1"/>
    </xf>
    <xf numFmtId="3" fontId="37" fillId="28" borderId="9" xfId="0" applyNumberFormat="1" applyFont="1" applyFill="1" applyBorder="1" applyAlignment="1">
      <alignment horizontal="right" vertical="center" wrapText="1"/>
    </xf>
    <xf numFmtId="3" fontId="37" fillId="29" borderId="9" xfId="0" applyNumberFormat="1" applyFont="1" applyFill="1" applyBorder="1" applyAlignment="1">
      <alignment horizontal="left" vertical="center"/>
    </xf>
    <xf numFmtId="3" fontId="37" fillId="29" borderId="9" xfId="0" applyNumberFormat="1" applyFont="1" applyFill="1" applyBorder="1" applyAlignment="1">
      <alignment horizontal="left" vertical="center" wrapText="1"/>
    </xf>
    <xf numFmtId="3" fontId="37" fillId="29" borderId="9" xfId="0" applyNumberFormat="1" applyFont="1" applyFill="1" applyBorder="1" applyAlignment="1">
      <alignment horizontal="right" vertical="center" wrapText="1"/>
    </xf>
    <xf numFmtId="3" fontId="41" fillId="28" borderId="9" xfId="0" applyNumberFormat="1" applyFont="1" applyFill="1" applyBorder="1" applyAlignment="1">
      <alignment horizontal="left" vertical="center"/>
    </xf>
    <xf numFmtId="3" fontId="41" fillId="2" borderId="9" xfId="0" applyNumberFormat="1" applyFont="1" applyFill="1" applyBorder="1" applyAlignment="1">
      <alignment vertical="center"/>
    </xf>
    <xf numFmtId="3" fontId="42" fillId="0" borderId="0" xfId="0" applyNumberFormat="1" applyFont="1" applyAlignment="1">
      <alignment horizontal="right" vertical="center"/>
    </xf>
    <xf numFmtId="3" fontId="42" fillId="0" borderId="0" xfId="0" applyNumberFormat="1" applyFont="1"/>
    <xf numFmtId="0" fontId="34" fillId="30" borderId="9" xfId="0" applyFont="1" applyFill="1" applyBorder="1" applyAlignment="1">
      <alignment horizontal="right" vertical="center"/>
    </xf>
    <xf numFmtId="0" fontId="34" fillId="30" borderId="9" xfId="0" applyFont="1" applyFill="1" applyBorder="1" applyAlignment="1">
      <alignment horizontal="left" vertical="center" wrapText="1"/>
    </xf>
    <xf numFmtId="3" fontId="34" fillId="3" borderId="9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left" vertical="center" wrapText="1"/>
    </xf>
    <xf numFmtId="3" fontId="37" fillId="0" borderId="11" xfId="0" applyNumberFormat="1" applyFont="1" applyBorder="1"/>
    <xf numFmtId="3" fontId="37" fillId="0" borderId="12" xfId="0" applyNumberFormat="1" applyFont="1" applyBorder="1"/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 wrapText="1"/>
    </xf>
    <xf numFmtId="3" fontId="34" fillId="0" borderId="14" xfId="0" applyNumberFormat="1" applyFont="1" applyBorder="1"/>
    <xf numFmtId="3" fontId="43" fillId="0" borderId="15" xfId="0" applyNumberFormat="1" applyFont="1" applyBorder="1"/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/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right" vertical="center"/>
    </xf>
    <xf numFmtId="3" fontId="44" fillId="0" borderId="15" xfId="0" applyNumberFormat="1" applyFont="1" applyBorder="1"/>
    <xf numFmtId="3" fontId="35" fillId="0" borderId="0" xfId="0" applyNumberFormat="1" applyFont="1" applyAlignment="1">
      <alignment horizontal="right" vertical="center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3" fontId="43" fillId="0" borderId="14" xfId="0" applyNumberFormat="1" applyFont="1" applyBorder="1" applyAlignment="1">
      <alignment horizontal="right" vertical="center"/>
    </xf>
    <xf numFmtId="3" fontId="34" fillId="0" borderId="14" xfId="0" applyNumberFormat="1" applyFont="1" applyBorder="1" applyAlignment="1">
      <alignment horizontal="right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left" vertical="center" wrapText="1"/>
    </xf>
    <xf numFmtId="3" fontId="37" fillId="0" borderId="14" xfId="0" applyNumberFormat="1" applyFont="1" applyBorder="1" applyAlignment="1">
      <alignment horizontal="right" vertical="center"/>
    </xf>
    <xf numFmtId="3" fontId="37" fillId="0" borderId="15" xfId="0" applyNumberFormat="1" applyFont="1" applyBorder="1"/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3" fontId="35" fillId="0" borderId="17" xfId="0" applyNumberFormat="1" applyFont="1" applyBorder="1" applyAlignment="1">
      <alignment horizontal="right" vertical="center"/>
    </xf>
    <xf numFmtId="3" fontId="44" fillId="0" borderId="18" xfId="0" applyNumberFormat="1" applyFont="1" applyBorder="1"/>
    <xf numFmtId="3" fontId="44" fillId="0" borderId="14" xfId="0" applyNumberFormat="1" applyFont="1" applyBorder="1"/>
    <xf numFmtId="3" fontId="37" fillId="0" borderId="15" xfId="0" applyNumberFormat="1" applyFont="1" applyBorder="1" applyAlignment="1">
      <alignment horizontal="right" vertical="center"/>
    </xf>
    <xf numFmtId="3" fontId="43" fillId="0" borderId="15" xfId="0" applyNumberFormat="1" applyFont="1" applyBorder="1" applyAlignment="1">
      <alignment horizontal="right" vertical="center"/>
    </xf>
    <xf numFmtId="0" fontId="44" fillId="0" borderId="13" xfId="0" applyFont="1" applyBorder="1" applyAlignment="1">
      <alignment horizontal="center" vertical="center"/>
    </xf>
    <xf numFmtId="0" fontId="44" fillId="0" borderId="14" xfId="0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right" vertical="center"/>
    </xf>
    <xf numFmtId="3" fontId="44" fillId="0" borderId="15" xfId="0" applyNumberFormat="1" applyFont="1" applyBorder="1" applyAlignment="1">
      <alignment horizontal="right" vertical="center"/>
    </xf>
    <xf numFmtId="3" fontId="35" fillId="0" borderId="15" xfId="0" applyNumberFormat="1" applyFont="1" applyBorder="1" applyAlignment="1">
      <alignment horizontal="right" vertical="center"/>
    </xf>
    <xf numFmtId="3" fontId="34" fillId="0" borderId="15" xfId="0" applyNumberFormat="1" applyFont="1" applyBorder="1" applyAlignment="1">
      <alignment horizontal="right" vertical="center"/>
    </xf>
    <xf numFmtId="0" fontId="45" fillId="0" borderId="13" xfId="0" applyFont="1" applyBorder="1" applyAlignment="1">
      <alignment horizontal="center" vertical="center"/>
    </xf>
    <xf numFmtId="0" fontId="45" fillId="28" borderId="14" xfId="0" applyFont="1" applyFill="1" applyBorder="1" applyAlignment="1">
      <alignment horizontal="left" vertical="center" wrapText="1"/>
    </xf>
    <xf numFmtId="3" fontId="45" fillId="0" borderId="14" xfId="0" applyNumberFormat="1" applyFont="1" applyBorder="1" applyAlignment="1">
      <alignment horizontal="right" vertical="center"/>
    </xf>
    <xf numFmtId="0" fontId="43" fillId="28" borderId="14" xfId="0" applyFont="1" applyFill="1" applyBorder="1" applyAlignment="1">
      <alignment horizontal="left" vertical="center" wrapText="1"/>
    </xf>
    <xf numFmtId="0" fontId="45" fillId="28" borderId="13" xfId="0" applyFont="1" applyFill="1" applyBorder="1" applyAlignment="1">
      <alignment horizontal="center" vertical="center"/>
    </xf>
    <xf numFmtId="3" fontId="45" fillId="28" borderId="14" xfId="0" applyNumberFormat="1" applyFont="1" applyFill="1" applyBorder="1" applyAlignment="1">
      <alignment horizontal="right" vertical="center"/>
    </xf>
    <xf numFmtId="3" fontId="37" fillId="28" borderId="15" xfId="0" applyNumberFormat="1" applyFont="1" applyFill="1" applyBorder="1" applyAlignment="1">
      <alignment horizontal="right" vertical="center"/>
    </xf>
    <xf numFmtId="0" fontId="43" fillId="28" borderId="13" xfId="0" applyFont="1" applyFill="1" applyBorder="1" applyAlignment="1">
      <alignment horizontal="center" vertical="center"/>
    </xf>
    <xf numFmtId="3" fontId="43" fillId="28" borderId="14" xfId="0" applyNumberFormat="1" applyFont="1" applyFill="1" applyBorder="1" applyAlignment="1">
      <alignment horizontal="right" vertical="center"/>
    </xf>
    <xf numFmtId="3" fontId="43" fillId="28" borderId="15" xfId="0" applyNumberFormat="1" applyFont="1" applyFill="1" applyBorder="1" applyAlignment="1">
      <alignment horizontal="right" vertical="center"/>
    </xf>
    <xf numFmtId="0" fontId="35" fillId="28" borderId="13" xfId="0" applyFont="1" applyFill="1" applyBorder="1" applyAlignment="1">
      <alignment horizontal="center" vertical="center"/>
    </xf>
    <xf numFmtId="0" fontId="35" fillId="28" borderId="14" xfId="0" applyFont="1" applyFill="1" applyBorder="1" applyAlignment="1">
      <alignment horizontal="left" vertical="center" wrapText="1"/>
    </xf>
    <xf numFmtId="3" fontId="35" fillId="28" borderId="14" xfId="0" applyNumberFormat="1" applyFont="1" applyFill="1" applyBorder="1" applyAlignment="1">
      <alignment horizontal="right" vertical="center"/>
    </xf>
    <xf numFmtId="3" fontId="44" fillId="28" borderId="15" xfId="0" applyNumberFormat="1" applyFont="1" applyFill="1" applyBorder="1" applyAlignment="1">
      <alignment horizontal="right" vertical="center"/>
    </xf>
    <xf numFmtId="3" fontId="34" fillId="30" borderId="9" xfId="0" applyNumberFormat="1" applyFont="1" applyFill="1" applyBorder="1" applyAlignment="1">
      <alignment horizontal="right" vertical="center"/>
    </xf>
    <xf numFmtId="0" fontId="37" fillId="28" borderId="10" xfId="0" applyFont="1" applyFill="1" applyBorder="1" applyAlignment="1">
      <alignment horizontal="center" vertical="center"/>
    </xf>
    <xf numFmtId="0" fontId="37" fillId="28" borderId="11" xfId="0" applyFont="1" applyFill="1" applyBorder="1" applyAlignment="1">
      <alignment horizontal="left" vertical="center" wrapText="1"/>
    </xf>
    <xf numFmtId="3" fontId="37" fillId="28" borderId="11" xfId="0" applyNumberFormat="1" applyFont="1" applyFill="1" applyBorder="1" applyAlignment="1">
      <alignment horizontal="right" vertical="center"/>
    </xf>
    <xf numFmtId="3" fontId="37" fillId="28" borderId="12" xfId="0" applyNumberFormat="1" applyFont="1" applyFill="1" applyBorder="1" applyAlignment="1">
      <alignment horizontal="right" vertical="center"/>
    </xf>
    <xf numFmtId="0" fontId="34" fillId="28" borderId="13" xfId="0" applyFont="1" applyFill="1" applyBorder="1" applyAlignment="1">
      <alignment horizontal="center" vertical="center"/>
    </xf>
    <xf numFmtId="0" fontId="34" fillId="28" borderId="14" xfId="0" applyFont="1" applyFill="1" applyBorder="1" applyAlignment="1">
      <alignment horizontal="left" vertical="center" wrapText="1"/>
    </xf>
    <xf numFmtId="3" fontId="34" fillId="28" borderId="14" xfId="0" applyNumberFormat="1" applyFont="1" applyFill="1" applyBorder="1" applyAlignment="1">
      <alignment horizontal="right" vertical="center"/>
    </xf>
    <xf numFmtId="0" fontId="44" fillId="28" borderId="13" xfId="0" applyFont="1" applyFill="1" applyBorder="1" applyAlignment="1">
      <alignment horizontal="center" vertical="center"/>
    </xf>
    <xf numFmtId="0" fontId="44" fillId="28" borderId="14" xfId="0" applyFont="1" applyFill="1" applyBorder="1" applyAlignment="1">
      <alignment horizontal="left" vertical="center" wrapText="1"/>
    </xf>
    <xf numFmtId="0" fontId="37" fillId="28" borderId="13" xfId="0" applyFont="1" applyFill="1" applyBorder="1" applyAlignment="1">
      <alignment horizontal="center" vertical="center"/>
    </xf>
    <xf numFmtId="0" fontId="37" fillId="28" borderId="14" xfId="0" applyFont="1" applyFill="1" applyBorder="1" applyAlignment="1">
      <alignment horizontal="left" vertical="center" wrapText="1"/>
    </xf>
    <xf numFmtId="3" fontId="37" fillId="28" borderId="14" xfId="0" applyNumberFormat="1" applyFont="1" applyFill="1" applyBorder="1" applyAlignment="1">
      <alignment horizontal="right" vertical="center"/>
    </xf>
    <xf numFmtId="3" fontId="44" fillId="28" borderId="14" xfId="0" applyNumberFormat="1" applyFont="1" applyFill="1" applyBorder="1" applyAlignment="1">
      <alignment horizontal="right" vertical="center"/>
    </xf>
    <xf numFmtId="0" fontId="35" fillId="28" borderId="16" xfId="0" applyFont="1" applyFill="1" applyBorder="1" applyAlignment="1">
      <alignment horizontal="center" vertical="center"/>
    </xf>
    <xf numFmtId="0" fontId="35" fillId="28" borderId="17" xfId="0" applyFont="1" applyFill="1" applyBorder="1" applyAlignment="1">
      <alignment horizontal="left" vertical="center" wrapText="1"/>
    </xf>
    <xf numFmtId="3" fontId="35" fillId="28" borderId="17" xfId="0" applyNumberFormat="1" applyFont="1" applyFill="1" applyBorder="1" applyAlignment="1">
      <alignment horizontal="right" vertical="center"/>
    </xf>
    <xf numFmtId="3" fontId="44" fillId="28" borderId="18" xfId="0" applyNumberFormat="1" applyFont="1" applyFill="1" applyBorder="1" applyAlignment="1">
      <alignment horizontal="right" vertical="center"/>
    </xf>
    <xf numFmtId="3" fontId="41" fillId="28" borderId="9" xfId="0" applyNumberFormat="1" applyFont="1" applyFill="1" applyBorder="1" applyAlignment="1">
      <alignment horizontal="right" vertical="center"/>
    </xf>
    <xf numFmtId="3" fontId="41" fillId="0" borderId="9" xfId="0" applyNumberFormat="1" applyFont="1" applyBorder="1" applyAlignment="1">
      <alignment horizontal="right" vertical="center"/>
    </xf>
    <xf numFmtId="3" fontId="37" fillId="0" borderId="11" xfId="0" applyNumberFormat="1" applyFont="1" applyBorder="1" applyAlignment="1">
      <alignment horizontal="right" vertical="center"/>
    </xf>
    <xf numFmtId="3" fontId="37" fillId="0" borderId="12" xfId="0" applyNumberFormat="1" applyFont="1" applyBorder="1" applyAlignment="1">
      <alignment horizontal="right" vertical="center"/>
    </xf>
    <xf numFmtId="0" fontId="45" fillId="28" borderId="19" xfId="0" applyFont="1" applyFill="1" applyBorder="1" applyAlignment="1">
      <alignment horizontal="center" vertical="center"/>
    </xf>
    <xf numFmtId="0" fontId="45" fillId="28" borderId="20" xfId="0" applyFont="1" applyFill="1" applyBorder="1" applyAlignment="1">
      <alignment horizontal="left" vertical="center" wrapText="1"/>
    </xf>
    <xf numFmtId="3" fontId="45" fillId="28" borderId="20" xfId="0" applyNumberFormat="1" applyFont="1" applyFill="1" applyBorder="1" applyAlignment="1">
      <alignment horizontal="right" vertical="center"/>
    </xf>
    <xf numFmtId="3" fontId="43" fillId="0" borderId="20" xfId="0" applyNumberFormat="1" applyFont="1" applyBorder="1" applyAlignment="1">
      <alignment horizontal="right" vertical="center"/>
    </xf>
    <xf numFmtId="3" fontId="44" fillId="28" borderId="21" xfId="0" applyNumberFormat="1" applyFont="1" applyFill="1" applyBorder="1" applyAlignment="1">
      <alignment horizontal="right" vertical="center"/>
    </xf>
    <xf numFmtId="3" fontId="41" fillId="0" borderId="10" xfId="0" applyNumberFormat="1" applyFont="1" applyBorder="1" applyAlignment="1">
      <alignment horizontal="left" vertical="center"/>
    </xf>
    <xf numFmtId="3" fontId="41" fillId="0" borderId="11" xfId="0" applyNumberFormat="1" applyFont="1" applyBorder="1" applyAlignment="1">
      <alignment horizontal="left" vertical="center"/>
    </xf>
    <xf numFmtId="3" fontId="41" fillId="0" borderId="11" xfId="0" applyNumberFormat="1" applyFont="1" applyBorder="1" applyAlignment="1">
      <alignment horizontal="right" vertical="center"/>
    </xf>
    <xf numFmtId="3" fontId="41" fillId="0" borderId="12" xfId="0" applyNumberFormat="1" applyFont="1" applyBorder="1" applyAlignment="1">
      <alignment horizontal="right" vertical="center"/>
    </xf>
    <xf numFmtId="0" fontId="34" fillId="0" borderId="13" xfId="0" applyFont="1" applyBorder="1" applyAlignment="1">
      <alignment horizontal="right" vertical="center"/>
    </xf>
    <xf numFmtId="3" fontId="35" fillId="0" borderId="0" xfId="0" applyNumberFormat="1" applyFont="1" applyAlignment="1">
      <alignment horizontal="center" vertical="center" wrapText="1"/>
    </xf>
    <xf numFmtId="49" fontId="46" fillId="31" borderId="22" xfId="0" applyNumberFormat="1" applyFont="1" applyFill="1" applyBorder="1" applyAlignment="1">
      <alignment horizontal="left" vertical="center"/>
    </xf>
    <xf numFmtId="3" fontId="47" fillId="31" borderId="22" xfId="0" applyNumberFormat="1" applyFont="1" applyFill="1" applyBorder="1" applyAlignment="1">
      <alignment vertical="center"/>
    </xf>
    <xf numFmtId="49" fontId="47" fillId="31" borderId="22" xfId="0" applyNumberFormat="1" applyFont="1" applyFill="1" applyBorder="1" applyAlignment="1">
      <alignment horizontal="left" vertical="center"/>
    </xf>
    <xf numFmtId="49" fontId="47" fillId="31" borderId="22" xfId="0" applyNumberFormat="1" applyFont="1" applyFill="1" applyBorder="1" applyAlignment="1">
      <alignment horizontal="left" vertical="center" wrapText="1"/>
    </xf>
    <xf numFmtId="3" fontId="48" fillId="31" borderId="22" xfId="0" applyNumberFormat="1" applyFont="1" applyFill="1" applyBorder="1" applyAlignment="1">
      <alignment vertical="center"/>
    </xf>
    <xf numFmtId="3" fontId="35" fillId="0" borderId="23" xfId="0" applyNumberFormat="1" applyFont="1" applyBorder="1" applyAlignment="1">
      <alignment horizontal="right" vertical="center"/>
    </xf>
    <xf numFmtId="3" fontId="34" fillId="30" borderId="9" xfId="0" applyNumberFormat="1" applyFont="1" applyFill="1" applyBorder="1" applyAlignment="1">
      <alignment horizontal="left" vertical="center"/>
    </xf>
    <xf numFmtId="3" fontId="34" fillId="29" borderId="9" xfId="0" applyNumberFormat="1" applyFont="1" applyFill="1" applyBorder="1" applyAlignment="1">
      <alignment horizontal="left" vertical="center"/>
    </xf>
    <xf numFmtId="3" fontId="34" fillId="29" borderId="9" xfId="0" applyNumberFormat="1" applyFont="1" applyFill="1" applyBorder="1" applyAlignment="1">
      <alignment horizontal="left" vertical="center" wrapText="1"/>
    </xf>
    <xf numFmtId="3" fontId="34" fillId="29" borderId="9" xfId="0" applyNumberFormat="1" applyFont="1" applyFill="1" applyBorder="1" applyAlignment="1">
      <alignment horizontal="right" vertical="center"/>
    </xf>
    <xf numFmtId="3" fontId="37" fillId="32" borderId="9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3" fontId="42" fillId="2" borderId="9" xfId="0" applyNumberFormat="1" applyFont="1" applyFill="1" applyBorder="1" applyAlignment="1">
      <alignment horizontal="right" vertical="center"/>
    </xf>
    <xf numFmtId="3" fontId="34" fillId="3" borderId="9" xfId="0" applyNumberFormat="1" applyFont="1" applyFill="1" applyBorder="1" applyAlignment="1">
      <alignment vertical="center"/>
    </xf>
    <xf numFmtId="3" fontId="37" fillId="3" borderId="9" xfId="0" applyNumberFormat="1" applyFont="1" applyFill="1" applyBorder="1" applyAlignment="1">
      <alignment horizontal="right" vertical="center"/>
    </xf>
    <xf numFmtId="3" fontId="37" fillId="2" borderId="12" xfId="0" applyNumberFormat="1" applyFont="1" applyFill="1" applyBorder="1" applyAlignment="1">
      <alignment horizontal="right" vertical="center"/>
    </xf>
    <xf numFmtId="3" fontId="37" fillId="0" borderId="0" xfId="0" applyNumberFormat="1" applyFont="1" applyAlignment="1">
      <alignment vertical="center"/>
    </xf>
    <xf numFmtId="3" fontId="37" fillId="2" borderId="15" xfId="0" applyNumberFormat="1" applyFont="1" applyFill="1" applyBorder="1" applyAlignment="1">
      <alignment horizontal="right" vertical="center"/>
    </xf>
    <xf numFmtId="3" fontId="37" fillId="2" borderId="18" xfId="0" applyNumberFormat="1" applyFont="1" applyFill="1" applyBorder="1" applyAlignment="1">
      <alignment horizontal="right" vertical="center"/>
    </xf>
    <xf numFmtId="0" fontId="45" fillId="28" borderId="10" xfId="0" applyFont="1" applyFill="1" applyBorder="1" applyAlignment="1">
      <alignment horizontal="center" vertical="center"/>
    </xf>
    <xf numFmtId="0" fontId="45" fillId="28" borderId="11" xfId="0" applyFont="1" applyFill="1" applyBorder="1" applyAlignment="1">
      <alignment horizontal="left" vertical="center" wrapText="1"/>
    </xf>
    <xf numFmtId="3" fontId="45" fillId="28" borderId="11" xfId="0" applyNumberFormat="1" applyFont="1" applyFill="1" applyBorder="1" applyAlignment="1">
      <alignment horizontal="right" vertical="center"/>
    </xf>
    <xf numFmtId="3" fontId="43" fillId="2" borderId="15" xfId="0" applyNumberFormat="1" applyFont="1" applyFill="1" applyBorder="1" applyAlignment="1">
      <alignment horizontal="right" vertical="center"/>
    </xf>
    <xf numFmtId="3" fontId="44" fillId="2" borderId="15" xfId="0" applyNumberFormat="1" applyFont="1" applyFill="1" applyBorder="1" applyAlignment="1">
      <alignment horizontal="right" vertical="center"/>
    </xf>
    <xf numFmtId="3" fontId="44" fillId="2" borderId="18" xfId="0" applyNumberFormat="1" applyFont="1" applyFill="1" applyBorder="1" applyAlignment="1">
      <alignment horizontal="right" vertical="center"/>
    </xf>
    <xf numFmtId="3" fontId="41" fillId="0" borderId="9" xfId="0" applyNumberFormat="1" applyFont="1" applyBorder="1" applyAlignment="1">
      <alignment horizontal="left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horizontal="left" vertical="center" wrapText="1"/>
    </xf>
    <xf numFmtId="3" fontId="35" fillId="0" borderId="0" xfId="0" applyNumberFormat="1" applyFont="1" applyBorder="1" applyAlignment="1">
      <alignment horizontal="right" vertical="center"/>
    </xf>
    <xf numFmtId="3" fontId="34" fillId="30" borderId="24" xfId="0" applyNumberFormat="1" applyFont="1" applyFill="1" applyBorder="1" applyAlignment="1">
      <alignment horizontal="right" vertical="center"/>
    </xf>
    <xf numFmtId="3" fontId="34" fillId="30" borderId="25" xfId="0" applyNumberFormat="1" applyFont="1" applyFill="1" applyBorder="1" applyAlignment="1">
      <alignment horizontal="left" vertical="center"/>
    </xf>
    <xf numFmtId="3" fontId="34" fillId="3" borderId="25" xfId="0" applyNumberFormat="1" applyFont="1" applyFill="1" applyBorder="1" applyAlignment="1">
      <alignment vertical="center"/>
    </xf>
    <xf numFmtId="3" fontId="37" fillId="3" borderId="26" xfId="0" applyNumberFormat="1" applyFont="1" applyFill="1" applyBorder="1" applyAlignment="1">
      <alignment horizontal="right" vertical="center"/>
    </xf>
    <xf numFmtId="0" fontId="37" fillId="28" borderId="27" xfId="0" applyFont="1" applyFill="1" applyBorder="1" applyAlignment="1">
      <alignment horizontal="center" vertical="center"/>
    </xf>
    <xf numFmtId="0" fontId="37" fillId="28" borderId="28" xfId="0" applyFont="1" applyFill="1" applyBorder="1" applyAlignment="1">
      <alignment horizontal="left" vertical="center" wrapText="1"/>
    </xf>
    <xf numFmtId="3" fontId="37" fillId="28" borderId="28" xfId="0" applyNumberFormat="1" applyFont="1" applyFill="1" applyBorder="1" applyAlignment="1">
      <alignment horizontal="right" vertical="center"/>
    </xf>
    <xf numFmtId="3" fontId="37" fillId="2" borderId="29" xfId="0" applyNumberFormat="1" applyFont="1" applyFill="1" applyBorder="1" applyAlignment="1">
      <alignment horizontal="right" vertical="center"/>
    </xf>
    <xf numFmtId="3" fontId="49" fillId="31" borderId="22" xfId="0" applyNumberFormat="1" applyFont="1" applyFill="1" applyBorder="1" applyAlignment="1">
      <alignment vertical="center"/>
    </xf>
    <xf numFmtId="0" fontId="45" fillId="0" borderId="14" xfId="0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4" fillId="2" borderId="0" xfId="13" applyFont="1" applyFill="1" applyAlignment="1">
      <alignment horizontal="center" vertical="center" wrapText="1"/>
    </xf>
    <xf numFmtId="0" fontId="38" fillId="28" borderId="9" xfId="0" applyFont="1" applyFill="1" applyBorder="1" applyAlignment="1">
      <alignment horizontal="center" vertical="center" wrapText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opLeftCell="A4" zoomScale="90" zoomScaleNormal="90" workbookViewId="0">
      <selection activeCell="F25" sqref="F25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369" t="s">
        <v>566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369" t="s">
        <v>0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369" t="s">
        <v>1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370" t="s">
        <v>2</v>
      </c>
      <c r="B7" s="370"/>
      <c r="C7" s="370"/>
      <c r="D7" s="370"/>
      <c r="E7" s="370"/>
      <c r="F7" s="8"/>
      <c r="G7" s="9"/>
      <c r="H7" s="9"/>
      <c r="I7" s="10"/>
      <c r="J7" s="11"/>
      <c r="K7" s="11"/>
    </row>
    <row r="8" spans="1:11" ht="38.25" x14ac:dyDescent="0.25">
      <c r="A8" s="371" t="s">
        <v>3</v>
      </c>
      <c r="B8" s="371"/>
      <c r="C8" s="371"/>
      <c r="D8" s="371"/>
      <c r="E8" s="371"/>
      <c r="F8" s="12" t="s">
        <v>555</v>
      </c>
      <c r="G8" s="13" t="s">
        <v>556</v>
      </c>
      <c r="H8" s="13" t="s">
        <v>557</v>
      </c>
      <c r="I8" s="12" t="s">
        <v>558</v>
      </c>
      <c r="J8" s="12" t="s">
        <v>4</v>
      </c>
      <c r="K8" s="12" t="s">
        <v>5</v>
      </c>
    </row>
    <row r="9" spans="1:11" x14ac:dyDescent="0.25">
      <c r="A9" s="367">
        <v>1</v>
      </c>
      <c r="B9" s="367"/>
      <c r="C9" s="367"/>
      <c r="D9" s="367"/>
      <c r="E9" s="368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375" t="s">
        <v>8</v>
      </c>
      <c r="B10" s="376"/>
      <c r="C10" s="376"/>
      <c r="D10" s="376"/>
      <c r="E10" s="377"/>
      <c r="F10" s="16">
        <f>+'A.1 PRIHODI EK'!C11</f>
        <v>2500038.61</v>
      </c>
      <c r="G10" s="17">
        <f>+'A.1 PRIHODI EK'!D10</f>
        <v>5244244</v>
      </c>
      <c r="H10" s="17">
        <f>+'A.1 PRIHODI EK'!E10</f>
        <v>5244244</v>
      </c>
      <c r="I10" s="16">
        <f>+'A.1 PRIHODI EK'!F11</f>
        <v>2813065.8599999994</v>
      </c>
      <c r="J10" s="18">
        <f t="shared" ref="J10:J16" si="0">+I10/F10*100</f>
        <v>112.52089662727246</v>
      </c>
      <c r="K10" s="18">
        <f t="shared" ref="K10:K16" si="1">+I10/H10*100</f>
        <v>53.641017847377036</v>
      </c>
    </row>
    <row r="11" spans="1:11" x14ac:dyDescent="0.25">
      <c r="A11" s="378" t="s">
        <v>9</v>
      </c>
      <c r="B11" s="377"/>
      <c r="C11" s="377"/>
      <c r="D11" s="377"/>
      <c r="E11" s="377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379" t="s">
        <v>10</v>
      </c>
      <c r="B12" s="380"/>
      <c r="C12" s="380"/>
      <c r="D12" s="380"/>
      <c r="E12" s="381"/>
      <c r="F12" s="19">
        <f>F10+F11</f>
        <v>2500038.61</v>
      </c>
      <c r="G12" s="20">
        <f>G10+G11</f>
        <v>5244244</v>
      </c>
      <c r="H12" s="20">
        <f>H10+H11</f>
        <v>5244244</v>
      </c>
      <c r="I12" s="19">
        <f>I10+I11</f>
        <v>2813065.8599999994</v>
      </c>
      <c r="J12" s="19">
        <f t="shared" si="0"/>
        <v>112.52089662727246</v>
      </c>
      <c r="K12" s="19">
        <f t="shared" si="1"/>
        <v>53.641017847377036</v>
      </c>
    </row>
    <row r="13" spans="1:11" x14ac:dyDescent="0.25">
      <c r="A13" s="382" t="s">
        <v>11</v>
      </c>
      <c r="B13" s="376"/>
      <c r="C13" s="376"/>
      <c r="D13" s="376"/>
      <c r="E13" s="376"/>
      <c r="F13" s="16">
        <f>+'A.1 RASHODI EK'!C10</f>
        <v>2264481.6699999995</v>
      </c>
      <c r="G13" s="17">
        <f>+'A.1 RASHODI EK'!D10</f>
        <v>5335430</v>
      </c>
      <c r="H13" s="17">
        <f>+'A.1 RASHODI EK'!E10</f>
        <v>5335430</v>
      </c>
      <c r="I13" s="16">
        <f>+'A.1 RASHODI EK'!F10</f>
        <v>2698758.6</v>
      </c>
      <c r="J13" s="18">
        <f t="shared" si="0"/>
        <v>119.17776309489847</v>
      </c>
      <c r="K13" s="18">
        <f t="shared" si="1"/>
        <v>50.581838764635656</v>
      </c>
    </row>
    <row r="14" spans="1:11" x14ac:dyDescent="0.25">
      <c r="A14" s="378" t="s">
        <v>12</v>
      </c>
      <c r="B14" s="377"/>
      <c r="C14" s="377"/>
      <c r="D14" s="377"/>
      <c r="E14" s="377"/>
      <c r="F14" s="16">
        <f>+'A.1 RASHODI EK'!C113</f>
        <v>17134.21</v>
      </c>
      <c r="G14" s="17">
        <f>+'A.1 RASHODI EK'!D113</f>
        <v>140845</v>
      </c>
      <c r="H14" s="17">
        <f>+'A.1 RASHODI EK'!E113</f>
        <v>140845</v>
      </c>
      <c r="I14" s="16">
        <f>+'A.1 RASHODI EK'!F113</f>
        <v>28670.67</v>
      </c>
      <c r="J14" s="18">
        <f t="shared" si="0"/>
        <v>167.32997903025583</v>
      </c>
      <c r="K14" s="18">
        <f t="shared" si="1"/>
        <v>20.356185878092941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2281615.8799999994</v>
      </c>
      <c r="G15" s="20">
        <f>G13+G14</f>
        <v>5476275</v>
      </c>
      <c r="H15" s="20">
        <f>H13+H14</f>
        <v>5476275</v>
      </c>
      <c r="I15" s="19">
        <f>I13+I14</f>
        <v>2727429.27</v>
      </c>
      <c r="J15" s="19">
        <f t="shared" si="0"/>
        <v>119.53937093039519</v>
      </c>
      <c r="K15" s="19">
        <f t="shared" si="1"/>
        <v>49.804461426791022</v>
      </c>
    </row>
    <row r="16" spans="1:11" x14ac:dyDescent="0.25">
      <c r="A16" s="383" t="s">
        <v>14</v>
      </c>
      <c r="B16" s="380"/>
      <c r="C16" s="380"/>
      <c r="D16" s="380"/>
      <c r="E16" s="380"/>
      <c r="F16" s="23">
        <f>F12-F15</f>
        <v>218422.73000000045</v>
      </c>
      <c r="G16" s="24">
        <f>G12-G15</f>
        <v>-232031</v>
      </c>
      <c r="H16" s="24">
        <f>H12-H15</f>
        <v>-232031</v>
      </c>
      <c r="I16" s="23">
        <f>I12-I15</f>
        <v>85636.589999999385</v>
      </c>
      <c r="J16" s="19">
        <f t="shared" si="0"/>
        <v>39.206812404551123</v>
      </c>
      <c r="K16" s="19">
        <f t="shared" si="1"/>
        <v>-36.907391684731515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370" t="s">
        <v>15</v>
      </c>
      <c r="B18" s="370"/>
      <c r="C18" s="370"/>
      <c r="D18" s="370"/>
      <c r="E18" s="370"/>
      <c r="F18" s="26"/>
      <c r="G18" s="27"/>
      <c r="H18" s="27"/>
      <c r="I18" s="26"/>
      <c r="J18" s="28"/>
      <c r="K18" s="28"/>
    </row>
    <row r="19" spans="1:11" ht="38.25" x14ac:dyDescent="0.25">
      <c r="A19" s="371" t="s">
        <v>3</v>
      </c>
      <c r="B19" s="371"/>
      <c r="C19" s="371"/>
      <c r="D19" s="371"/>
      <c r="E19" s="371"/>
      <c r="F19" s="12" t="s">
        <v>555</v>
      </c>
      <c r="G19" s="13" t="s">
        <v>556</v>
      </c>
      <c r="H19" s="13" t="s">
        <v>557</v>
      </c>
      <c r="I19" s="12" t="s">
        <v>558</v>
      </c>
      <c r="J19" s="29" t="s">
        <v>4</v>
      </c>
      <c r="K19" s="29" t="s">
        <v>5</v>
      </c>
    </row>
    <row r="20" spans="1:11" x14ac:dyDescent="0.25">
      <c r="A20" s="384">
        <v>1</v>
      </c>
      <c r="B20" s="385"/>
      <c r="C20" s="385"/>
      <c r="D20" s="385"/>
      <c r="E20" s="385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375" t="s">
        <v>16</v>
      </c>
      <c r="B21" s="386"/>
      <c r="C21" s="386"/>
      <c r="D21" s="386"/>
      <c r="E21" s="386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375" t="s">
        <v>17</v>
      </c>
      <c r="B22" s="387"/>
      <c r="C22" s="387"/>
      <c r="D22" s="387"/>
      <c r="E22" s="387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372" t="s">
        <v>18</v>
      </c>
      <c r="B23" s="373"/>
      <c r="C23" s="373"/>
      <c r="D23" s="373"/>
      <c r="E23" s="374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375" t="s">
        <v>19</v>
      </c>
      <c r="B24" s="387"/>
      <c r="C24" s="387"/>
      <c r="D24" s="387"/>
      <c r="E24" s="387"/>
      <c r="F24" s="214">
        <v>0</v>
      </c>
      <c r="G24" s="215">
        <v>524053</v>
      </c>
      <c r="H24" s="215">
        <v>524053</v>
      </c>
      <c r="I24" s="16">
        <f>+F25</f>
        <v>543858.85</v>
      </c>
      <c r="J24" s="18" t="e">
        <f t="shared" si="2"/>
        <v>#DIV/0!</v>
      </c>
      <c r="K24" s="18">
        <f t="shared" si="3"/>
        <v>103.77936010289035</v>
      </c>
    </row>
    <row r="25" spans="1:11" x14ac:dyDescent="0.25">
      <c r="A25" s="375" t="s">
        <v>20</v>
      </c>
      <c r="B25" s="387"/>
      <c r="C25" s="387"/>
      <c r="D25" s="387"/>
      <c r="E25" s="387"/>
      <c r="F25" s="214">
        <v>543858.85</v>
      </c>
      <c r="G25" s="215">
        <v>-292022</v>
      </c>
      <c r="H25" s="215">
        <v>-292022</v>
      </c>
      <c r="I25" s="215">
        <v>85636.59</v>
      </c>
      <c r="J25" s="18">
        <f t="shared" si="2"/>
        <v>15.746105814036124</v>
      </c>
      <c r="K25" s="18">
        <f t="shared" si="3"/>
        <v>-29.325389867886663</v>
      </c>
    </row>
    <row r="26" spans="1:11" x14ac:dyDescent="0.25">
      <c r="A26" s="372" t="s">
        <v>21</v>
      </c>
      <c r="B26" s="373"/>
      <c r="C26" s="373"/>
      <c r="D26" s="373"/>
      <c r="E26" s="374"/>
      <c r="F26" s="19">
        <f>+F23+F24+F25</f>
        <v>543858.85</v>
      </c>
      <c r="G26" s="24">
        <f>+G23+G24+G25</f>
        <v>232031</v>
      </c>
      <c r="H26" s="24">
        <f>+H23+H24+H25</f>
        <v>232031</v>
      </c>
      <c r="I26" s="19">
        <f>+I23+I24+I25</f>
        <v>629495.43999999994</v>
      </c>
      <c r="J26" s="19">
        <f t="shared" si="2"/>
        <v>115.74610581403613</v>
      </c>
      <c r="K26" s="19">
        <f t="shared" si="3"/>
        <v>271.29799035473707</v>
      </c>
    </row>
    <row r="27" spans="1:11" x14ac:dyDescent="0.25">
      <c r="A27" s="390" t="s">
        <v>22</v>
      </c>
      <c r="B27" s="390"/>
      <c r="C27" s="390"/>
      <c r="D27" s="390"/>
      <c r="E27" s="390"/>
      <c r="F27" s="23">
        <f>+F16+F26</f>
        <v>762281.58000000042</v>
      </c>
      <c r="G27" s="24">
        <f>+G16+G26</f>
        <v>0</v>
      </c>
      <c r="H27" s="24">
        <f>+H16+H26</f>
        <v>0</v>
      </c>
      <c r="I27" s="23">
        <f>+I16+I26</f>
        <v>715132.02999999933</v>
      </c>
      <c r="J27" s="19">
        <f t="shared" si="2"/>
        <v>93.814680659081247</v>
      </c>
      <c r="K27" s="19" t="e">
        <f t="shared" si="3"/>
        <v>#DIV/0!</v>
      </c>
    </row>
    <row r="29" spans="1:11" ht="23.25" customHeight="1" x14ac:dyDescent="0.25">
      <c r="A29" s="388"/>
      <c r="B29" s="388"/>
      <c r="C29" s="388"/>
      <c r="D29" s="388"/>
      <c r="E29" s="388"/>
      <c r="F29" s="388"/>
      <c r="G29" s="388"/>
      <c r="H29" s="388"/>
      <c r="I29" s="388"/>
      <c r="J29" s="388"/>
      <c r="K29" s="388"/>
    </row>
    <row r="30" spans="1:11" ht="20.25" customHeight="1" x14ac:dyDescent="0.25">
      <c r="A30" s="388" t="s">
        <v>559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</row>
    <row r="31" spans="1:11" ht="38.25" customHeight="1" x14ac:dyDescent="0.25">
      <c r="A31" s="388" t="s">
        <v>560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</row>
    <row r="32" spans="1:11" x14ac:dyDescent="0.25">
      <c r="A32" s="388"/>
      <c r="B32" s="388"/>
      <c r="C32" s="388"/>
      <c r="D32" s="388"/>
      <c r="E32" s="388"/>
      <c r="F32" s="388"/>
      <c r="G32" s="388"/>
      <c r="H32" s="388"/>
      <c r="I32" s="388"/>
      <c r="J32" s="388"/>
      <c r="K32" s="388"/>
    </row>
    <row r="33" spans="1:11" ht="31.5" customHeight="1" x14ac:dyDescent="0.25">
      <c r="A33" s="389" t="s">
        <v>561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D77" sqref="D77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393" t="s">
        <v>0</v>
      </c>
      <c r="B1" s="393"/>
      <c r="C1" s="393"/>
      <c r="D1" s="393"/>
      <c r="E1" s="393"/>
      <c r="F1" s="393"/>
      <c r="G1" s="393"/>
      <c r="H1" s="393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6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393" t="s">
        <v>23</v>
      </c>
      <c r="B3" s="393"/>
      <c r="C3" s="393"/>
      <c r="D3" s="393"/>
      <c r="E3" s="393"/>
      <c r="F3" s="393"/>
      <c r="G3" s="393"/>
      <c r="H3" s="393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6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393" t="s">
        <v>24</v>
      </c>
      <c r="B5" s="393"/>
      <c r="C5" s="393"/>
      <c r="D5" s="393"/>
      <c r="E5" s="393"/>
      <c r="F5" s="393"/>
      <c r="G5" s="393"/>
      <c r="H5" s="393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6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392" t="s">
        <v>3</v>
      </c>
      <c r="B7" s="392"/>
      <c r="C7" s="54" t="s">
        <v>562</v>
      </c>
      <c r="D7" s="54" t="s">
        <v>563</v>
      </c>
      <c r="E7" s="54" t="s">
        <v>564</v>
      </c>
      <c r="F7" s="54" t="s">
        <v>565</v>
      </c>
      <c r="G7" s="54" t="s">
        <v>260</v>
      </c>
      <c r="H7" s="161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391">
        <v>1</v>
      </c>
      <c r="B8" s="391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2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8" t="s">
        <v>27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46"/>
      <c r="J9" s="146"/>
      <c r="K9" s="146"/>
      <c r="L9" s="146"/>
      <c r="M9" s="164"/>
      <c r="N9" s="164"/>
      <c r="O9" s="164"/>
    </row>
    <row r="10" spans="1:15" s="34" customFormat="1" x14ac:dyDescent="0.2">
      <c r="A10" s="198"/>
      <c r="B10" s="200" t="s">
        <v>25</v>
      </c>
      <c r="C10" s="191">
        <f>+C11+C70</f>
        <v>2500038.61</v>
      </c>
      <c r="D10" s="201">
        <f>+D11+D70</f>
        <v>5244244</v>
      </c>
      <c r="E10" s="201">
        <f>+E11+E70</f>
        <v>5244244</v>
      </c>
      <c r="F10" s="191">
        <f>+F11+F70</f>
        <v>2813065.8599999994</v>
      </c>
      <c r="G10" s="191">
        <f>+F10/C10*100</f>
        <v>112.52089662727246</v>
      </c>
      <c r="H10" s="191">
        <f>+F10/E10*100</f>
        <v>53.641017847377036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2" t="s">
        <v>30</v>
      </c>
      <c r="B11" s="193" t="s">
        <v>31</v>
      </c>
      <c r="C11" s="194">
        <f>+C12+C34+C45+C51+C58+C65</f>
        <v>2500038.61</v>
      </c>
      <c r="D11" s="195">
        <f>+D12+D34+D45+D51+D58+D65</f>
        <v>5244244</v>
      </c>
      <c r="E11" s="195">
        <f>+E12+E34+E45+E51+E58+E65</f>
        <v>5244244</v>
      </c>
      <c r="F11" s="194">
        <f>+F12+F34+F45+F51+F58+F65</f>
        <v>2813065.8599999994</v>
      </c>
      <c r="G11" s="196">
        <f>+F11/C11*100</f>
        <v>112.52089662727246</v>
      </c>
      <c r="H11" s="196">
        <f>+F11/E11*100</f>
        <v>53.641017847377036</v>
      </c>
      <c r="I11" s="165"/>
      <c r="J11" s="165"/>
      <c r="K11" s="165"/>
      <c r="L11" s="165"/>
      <c r="M11" s="165"/>
      <c r="N11" s="165"/>
      <c r="O11" s="165"/>
    </row>
    <row r="12" spans="1:15" x14ac:dyDescent="0.2">
      <c r="A12" s="180" t="s">
        <v>33</v>
      </c>
      <c r="B12" s="181" t="s">
        <v>34</v>
      </c>
      <c r="C12" s="177">
        <f>+C13+C15+C20+C23+C26+C29</f>
        <v>99195.91</v>
      </c>
      <c r="D12" s="160">
        <v>35416</v>
      </c>
      <c r="E12" s="160">
        <v>35416</v>
      </c>
      <c r="F12" s="177">
        <f>+F13+F15+F20+F23+F26+F29</f>
        <v>77862.69</v>
      </c>
      <c r="G12" s="177">
        <f>+F12/C12*100</f>
        <v>78.493851208179848</v>
      </c>
      <c r="H12" s="177">
        <f>+F12/E12*100</f>
        <v>219.85173367969279</v>
      </c>
      <c r="I12" s="168"/>
      <c r="J12" s="168"/>
      <c r="K12" s="168"/>
      <c r="L12" s="168"/>
      <c r="M12" s="168"/>
      <c r="N12" s="168"/>
      <c r="O12" s="168"/>
    </row>
    <row r="13" spans="1:15" x14ac:dyDescent="0.2">
      <c r="A13" s="178" t="s">
        <v>262</v>
      </c>
      <c r="B13" s="179" t="s">
        <v>263</v>
      </c>
      <c r="C13" s="177">
        <f>+C14</f>
        <v>63452.86</v>
      </c>
      <c r="D13" s="175"/>
      <c r="E13" s="175"/>
      <c r="F13" s="177">
        <f>+F14</f>
        <v>0</v>
      </c>
      <c r="G13" s="177">
        <f t="shared" ref="G13:G72" si="0">+F13/C13*100</f>
        <v>0</v>
      </c>
      <c r="H13" s="177"/>
      <c r="I13" s="168"/>
      <c r="J13" s="168"/>
      <c r="K13" s="168"/>
      <c r="L13" s="168"/>
      <c r="M13" s="168"/>
      <c r="N13" s="168"/>
      <c r="O13" s="168"/>
    </row>
    <row r="14" spans="1:15" x14ac:dyDescent="0.2">
      <c r="A14" s="53" t="s">
        <v>264</v>
      </c>
      <c r="B14" s="51" t="s">
        <v>265</v>
      </c>
      <c r="C14" s="47">
        <v>63452.86</v>
      </c>
      <c r="D14" s="174"/>
      <c r="E14" s="174"/>
      <c r="F14" s="47">
        <v>0</v>
      </c>
      <c r="G14" s="173">
        <f t="shared" si="0"/>
        <v>0</v>
      </c>
      <c r="H14" s="177"/>
      <c r="I14" s="49"/>
      <c r="J14" s="49"/>
      <c r="K14" s="49"/>
      <c r="L14" s="49"/>
      <c r="M14" s="50"/>
      <c r="N14" s="50"/>
      <c r="O14" s="50"/>
    </row>
    <row r="15" spans="1:15" x14ac:dyDescent="0.2">
      <c r="A15" s="178" t="s">
        <v>35</v>
      </c>
      <c r="B15" s="179" t="s">
        <v>36</v>
      </c>
      <c r="C15" s="177">
        <f>SUM(C16:C19)</f>
        <v>0</v>
      </c>
      <c r="D15" s="175"/>
      <c r="E15" s="175"/>
      <c r="F15" s="177">
        <f>SUM(F16:F19)</f>
        <v>10564.86</v>
      </c>
      <c r="G15" s="177" t="e">
        <f t="shared" si="0"/>
        <v>#DIV/0!</v>
      </c>
      <c r="H15" s="177"/>
      <c r="I15" s="168"/>
      <c r="J15" s="168"/>
      <c r="K15" s="168"/>
      <c r="L15" s="168"/>
      <c r="M15" s="168"/>
      <c r="N15" s="168"/>
      <c r="O15" s="168"/>
    </row>
    <row r="16" spans="1:15" x14ac:dyDescent="0.2">
      <c r="A16" s="53" t="s">
        <v>266</v>
      </c>
      <c r="B16" s="51" t="s">
        <v>267</v>
      </c>
      <c r="C16" s="47">
        <v>0</v>
      </c>
      <c r="D16" s="174"/>
      <c r="E16" s="174"/>
      <c r="F16" s="47">
        <v>10564.86</v>
      </c>
      <c r="G16" s="173" t="e">
        <f t="shared" si="0"/>
        <v>#DIV/0!</v>
      </c>
      <c r="H16" s="177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>
        <v>0</v>
      </c>
      <c r="D17" s="174"/>
      <c r="E17" s="174"/>
      <c r="F17" s="52">
        <v>0</v>
      </c>
      <c r="G17" s="172" t="e">
        <f t="shared" si="0"/>
        <v>#DIV/0!</v>
      </c>
      <c r="H17" s="177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0</v>
      </c>
      <c r="D18" s="174"/>
      <c r="E18" s="174"/>
      <c r="F18" s="47">
        <v>0</v>
      </c>
      <c r="G18" s="173" t="e">
        <f t="shared" si="0"/>
        <v>#DIV/0!</v>
      </c>
      <c r="H18" s="177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>
        <v>0</v>
      </c>
      <c r="D19" s="174"/>
      <c r="E19" s="174"/>
      <c r="F19" s="47">
        <v>0</v>
      </c>
      <c r="G19" s="173" t="e">
        <f t="shared" si="0"/>
        <v>#DIV/0!</v>
      </c>
      <c r="H19" s="177"/>
      <c r="I19" s="49"/>
      <c r="J19" s="49"/>
      <c r="K19" s="49"/>
      <c r="L19" s="49"/>
      <c r="M19" s="50"/>
      <c r="N19" s="50"/>
      <c r="O19" s="50"/>
    </row>
    <row r="20" spans="1:15" x14ac:dyDescent="0.2">
      <c r="A20" s="178" t="s">
        <v>270</v>
      </c>
      <c r="B20" s="179" t="s">
        <v>271</v>
      </c>
      <c r="C20" s="177">
        <f>+C21+C22</f>
        <v>0</v>
      </c>
      <c r="D20" s="175"/>
      <c r="E20" s="175"/>
      <c r="F20" s="177">
        <f>+F21+F22</f>
        <v>0</v>
      </c>
      <c r="G20" s="177" t="e">
        <f t="shared" si="0"/>
        <v>#DIV/0!</v>
      </c>
      <c r="H20" s="177"/>
      <c r="I20" s="168"/>
      <c r="J20" s="168"/>
      <c r="K20" s="168"/>
      <c r="L20" s="168"/>
      <c r="M20" s="168"/>
      <c r="N20" s="168"/>
      <c r="O20" s="168"/>
    </row>
    <row r="21" spans="1:15" x14ac:dyDescent="0.2">
      <c r="A21" s="53" t="s">
        <v>272</v>
      </c>
      <c r="B21" s="51" t="s">
        <v>273</v>
      </c>
      <c r="C21" s="47">
        <v>0</v>
      </c>
      <c r="D21" s="174"/>
      <c r="E21" s="174"/>
      <c r="F21" s="47">
        <v>0</v>
      </c>
      <c r="G21" s="173" t="e">
        <f t="shared" si="0"/>
        <v>#DIV/0!</v>
      </c>
      <c r="H21" s="177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>
        <v>0</v>
      </c>
      <c r="D22" s="174"/>
      <c r="E22" s="174"/>
      <c r="F22" s="52">
        <v>0</v>
      </c>
      <c r="G22" s="172" t="e">
        <f t="shared" si="0"/>
        <v>#DIV/0!</v>
      </c>
      <c r="H22" s="177"/>
      <c r="I22" s="49"/>
      <c r="J22" s="49"/>
      <c r="K22" s="49"/>
      <c r="L22" s="49"/>
      <c r="M22" s="50"/>
      <c r="N22" s="50"/>
      <c r="O22" s="50"/>
    </row>
    <row r="23" spans="1:15" x14ac:dyDescent="0.2">
      <c r="A23" s="178" t="s">
        <v>276</v>
      </c>
      <c r="B23" s="179" t="s">
        <v>277</v>
      </c>
      <c r="C23" s="177">
        <f>+C24+C25</f>
        <v>2000</v>
      </c>
      <c r="D23" s="175"/>
      <c r="E23" s="175"/>
      <c r="F23" s="177">
        <f>+F24+F25</f>
        <v>0</v>
      </c>
      <c r="G23" s="177">
        <f t="shared" si="0"/>
        <v>0</v>
      </c>
      <c r="H23" s="177"/>
      <c r="I23" s="168"/>
      <c r="J23" s="168"/>
      <c r="K23" s="168"/>
      <c r="L23" s="168"/>
      <c r="M23" s="168"/>
      <c r="N23" s="168"/>
      <c r="O23" s="168"/>
    </row>
    <row r="24" spans="1:15" ht="25.5" x14ac:dyDescent="0.2">
      <c r="A24" s="53" t="s">
        <v>278</v>
      </c>
      <c r="B24" s="51" t="s">
        <v>279</v>
      </c>
      <c r="C24" s="47">
        <v>2000</v>
      </c>
      <c r="D24" s="174"/>
      <c r="E24" s="174"/>
      <c r="F24" s="47">
        <v>0</v>
      </c>
      <c r="G24" s="173">
        <f t="shared" si="0"/>
        <v>0</v>
      </c>
      <c r="H24" s="177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>
        <v>0</v>
      </c>
      <c r="D25" s="174"/>
      <c r="E25" s="174"/>
      <c r="F25" s="47">
        <v>0</v>
      </c>
      <c r="G25" s="173" t="e">
        <f t="shared" si="0"/>
        <v>#DIV/0!</v>
      </c>
      <c r="H25" s="177"/>
      <c r="I25" s="49"/>
      <c r="J25" s="49"/>
      <c r="K25" s="49"/>
      <c r="L25" s="49"/>
      <c r="M25" s="50"/>
      <c r="N25" s="50"/>
      <c r="O25" s="50"/>
    </row>
    <row r="26" spans="1:15" x14ac:dyDescent="0.2">
      <c r="A26" s="178" t="s">
        <v>282</v>
      </c>
      <c r="B26" s="179" t="s">
        <v>283</v>
      </c>
      <c r="C26" s="177">
        <f>+C27+C28</f>
        <v>0</v>
      </c>
      <c r="D26" s="175"/>
      <c r="E26" s="175"/>
      <c r="F26" s="177">
        <f>+F27+F28</f>
        <v>0</v>
      </c>
      <c r="G26" s="177" t="e">
        <f t="shared" si="0"/>
        <v>#DIV/0!</v>
      </c>
      <c r="H26" s="177"/>
      <c r="I26" s="168"/>
      <c r="J26" s="168"/>
      <c r="K26" s="168"/>
      <c r="L26" s="168"/>
      <c r="M26" s="168"/>
      <c r="N26" s="168"/>
      <c r="O26" s="168"/>
    </row>
    <row r="27" spans="1:15" x14ac:dyDescent="0.2">
      <c r="A27" s="53" t="s">
        <v>284</v>
      </c>
      <c r="B27" s="51" t="s">
        <v>285</v>
      </c>
      <c r="C27" s="47">
        <v>0</v>
      </c>
      <c r="D27" s="174"/>
      <c r="E27" s="174"/>
      <c r="F27" s="47">
        <v>0</v>
      </c>
      <c r="G27" s="173" t="e">
        <f t="shared" si="0"/>
        <v>#DIV/0!</v>
      </c>
      <c r="H27" s="177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>
        <v>0</v>
      </c>
      <c r="D28" s="174"/>
      <c r="E28" s="174"/>
      <c r="F28" s="47">
        <v>0</v>
      </c>
      <c r="G28" s="173" t="e">
        <f t="shared" si="0"/>
        <v>#DIV/0!</v>
      </c>
      <c r="H28" s="177"/>
      <c r="I28" s="49"/>
      <c r="J28" s="49"/>
      <c r="K28" s="49"/>
      <c r="L28" s="49"/>
      <c r="M28" s="50"/>
      <c r="N28" s="50"/>
      <c r="O28" s="50"/>
    </row>
    <row r="29" spans="1:15" x14ac:dyDescent="0.2">
      <c r="A29" s="178" t="s">
        <v>288</v>
      </c>
      <c r="B29" s="179" t="s">
        <v>196</v>
      </c>
      <c r="C29" s="177">
        <f>SUM(C30:C33)</f>
        <v>33743.050000000003</v>
      </c>
      <c r="D29" s="175"/>
      <c r="E29" s="175"/>
      <c r="F29" s="177">
        <f>SUM(F30:F33)</f>
        <v>67297.83</v>
      </c>
      <c r="G29" s="177">
        <f t="shared" si="0"/>
        <v>199.44204806619436</v>
      </c>
      <c r="H29" s="177"/>
      <c r="I29" s="168"/>
      <c r="J29" s="168"/>
      <c r="K29" s="168"/>
      <c r="L29" s="168"/>
      <c r="M29" s="168"/>
      <c r="N29" s="168"/>
      <c r="O29" s="168"/>
    </row>
    <row r="30" spans="1:15" x14ac:dyDescent="0.2">
      <c r="A30" s="53" t="s">
        <v>289</v>
      </c>
      <c r="B30" s="51" t="s">
        <v>198</v>
      </c>
      <c r="C30" s="47">
        <v>0</v>
      </c>
      <c r="D30" s="175"/>
      <c r="E30" s="175"/>
      <c r="F30" s="47">
        <v>12519.51</v>
      </c>
      <c r="G30" s="173" t="e">
        <f t="shared" si="0"/>
        <v>#DIV/0!</v>
      </c>
      <c r="H30" s="177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>
        <v>0</v>
      </c>
      <c r="D31" s="175"/>
      <c r="E31" s="175"/>
      <c r="F31" s="47">
        <v>0</v>
      </c>
      <c r="G31" s="173" t="e">
        <f t="shared" si="0"/>
        <v>#DIV/0!</v>
      </c>
      <c r="H31" s="177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33743.050000000003</v>
      </c>
      <c r="D32" s="175"/>
      <c r="E32" s="175"/>
      <c r="F32" s="47">
        <v>54778.32</v>
      </c>
      <c r="G32" s="173">
        <f t="shared" si="0"/>
        <v>162.33956325821168</v>
      </c>
      <c r="H32" s="177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>
        <v>0</v>
      </c>
      <c r="D33" s="175"/>
      <c r="E33" s="175"/>
      <c r="F33" s="47">
        <v>0</v>
      </c>
      <c r="G33" s="173" t="e">
        <f t="shared" si="0"/>
        <v>#DIV/0!</v>
      </c>
      <c r="H33" s="177"/>
      <c r="I33" s="50"/>
      <c r="J33" s="50"/>
      <c r="K33" s="50"/>
      <c r="L33" s="50"/>
      <c r="M33" s="50"/>
      <c r="N33" s="50"/>
      <c r="O33" s="50"/>
    </row>
    <row r="34" spans="1:15" x14ac:dyDescent="0.2">
      <c r="A34" s="180" t="s">
        <v>41</v>
      </c>
      <c r="B34" s="181" t="s">
        <v>42</v>
      </c>
      <c r="C34" s="177">
        <f>+C35+C42</f>
        <v>0.28000000000000003</v>
      </c>
      <c r="D34" s="160">
        <v>0</v>
      </c>
      <c r="E34" s="160">
        <v>0</v>
      </c>
      <c r="F34" s="177">
        <f>+F35+F42</f>
        <v>1.75</v>
      </c>
      <c r="G34" s="177">
        <f>+F34/C34*100</f>
        <v>624.99999999999989</v>
      </c>
      <c r="H34" s="177" t="e">
        <f>+F34/E34*100</f>
        <v>#DIV/0!</v>
      </c>
      <c r="I34" s="168"/>
      <c r="J34" s="168"/>
      <c r="K34" s="168"/>
      <c r="L34" s="168"/>
      <c r="M34" s="168"/>
      <c r="N34" s="168"/>
      <c r="O34" s="168"/>
    </row>
    <row r="35" spans="1:15" x14ac:dyDescent="0.2">
      <c r="A35" s="178" t="s">
        <v>43</v>
      </c>
      <c r="B35" s="179" t="s">
        <v>44</v>
      </c>
      <c r="C35" s="177">
        <f>SUM(C36:C41)</f>
        <v>0.28000000000000003</v>
      </c>
      <c r="D35" s="175"/>
      <c r="E35" s="175"/>
      <c r="F35" s="177">
        <f>SUM(F36:F41)</f>
        <v>1.75</v>
      </c>
      <c r="G35" s="177">
        <f t="shared" si="0"/>
        <v>624.99999999999989</v>
      </c>
      <c r="H35" s="177"/>
      <c r="I35" s="168"/>
      <c r="J35" s="168"/>
      <c r="K35" s="168"/>
      <c r="L35" s="168"/>
      <c r="M35" s="168"/>
      <c r="N35" s="168"/>
      <c r="O35" s="168"/>
    </row>
    <row r="36" spans="1:15" x14ac:dyDescent="0.2">
      <c r="A36" s="53" t="s">
        <v>294</v>
      </c>
      <c r="B36" s="51" t="s">
        <v>295</v>
      </c>
      <c r="C36" s="47">
        <v>0.28000000000000003</v>
      </c>
      <c r="D36" s="175"/>
      <c r="E36" s="175"/>
      <c r="F36" s="47">
        <v>1.75</v>
      </c>
      <c r="G36" s="173">
        <f t="shared" si="0"/>
        <v>624.99999999999989</v>
      </c>
      <c r="H36" s="177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>
        <v>0</v>
      </c>
      <c r="D37" s="175"/>
      <c r="E37" s="175"/>
      <c r="F37" s="47">
        <v>0</v>
      </c>
      <c r="G37" s="173" t="e">
        <f t="shared" si="0"/>
        <v>#DIV/0!</v>
      </c>
      <c r="H37" s="177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>
        <v>0</v>
      </c>
      <c r="D38" s="175"/>
      <c r="E38" s="175"/>
      <c r="F38" s="47">
        <v>0</v>
      </c>
      <c r="G38" s="173" t="e">
        <f t="shared" si="0"/>
        <v>#DIV/0!</v>
      </c>
      <c r="H38" s="177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>
        <v>0</v>
      </c>
      <c r="D39" s="175"/>
      <c r="E39" s="175"/>
      <c r="F39" s="47">
        <v>0</v>
      </c>
      <c r="G39" s="173" t="e">
        <f t="shared" si="0"/>
        <v>#DIV/0!</v>
      </c>
      <c r="H39" s="177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>
        <v>0</v>
      </c>
      <c r="D40" s="175"/>
      <c r="E40" s="175"/>
      <c r="F40" s="47">
        <v>0</v>
      </c>
      <c r="G40" s="173" t="e">
        <f t="shared" si="0"/>
        <v>#DIV/0!</v>
      </c>
      <c r="H40" s="177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>
        <v>0</v>
      </c>
      <c r="D41" s="175"/>
      <c r="E41" s="175"/>
      <c r="F41" s="47">
        <v>0</v>
      </c>
      <c r="G41" s="173" t="e">
        <f t="shared" si="0"/>
        <v>#DIV/0!</v>
      </c>
      <c r="H41" s="177"/>
      <c r="I41" s="50"/>
      <c r="J41" s="50"/>
      <c r="K41" s="50"/>
      <c r="L41" s="50"/>
      <c r="M41" s="50"/>
      <c r="N41" s="50"/>
      <c r="O41" s="50"/>
    </row>
    <row r="42" spans="1:15" x14ac:dyDescent="0.2">
      <c r="A42" s="178" t="s">
        <v>304</v>
      </c>
      <c r="B42" s="179" t="s">
        <v>305</v>
      </c>
      <c r="C42" s="177">
        <f>+C43+C44</f>
        <v>0</v>
      </c>
      <c r="D42" s="175"/>
      <c r="E42" s="175"/>
      <c r="F42" s="177">
        <f>+F43+F44</f>
        <v>0</v>
      </c>
      <c r="G42" s="177" t="e">
        <f t="shared" si="0"/>
        <v>#DIV/0!</v>
      </c>
      <c r="H42" s="177"/>
      <c r="I42" s="168"/>
      <c r="J42" s="168"/>
      <c r="K42" s="168"/>
      <c r="L42" s="168"/>
      <c r="M42" s="168"/>
      <c r="N42" s="168"/>
      <c r="O42" s="168"/>
    </row>
    <row r="43" spans="1:15" x14ac:dyDescent="0.2">
      <c r="A43" s="53" t="s">
        <v>306</v>
      </c>
      <c r="B43" s="51" t="s">
        <v>307</v>
      </c>
      <c r="C43" s="47">
        <v>0</v>
      </c>
      <c r="D43" s="175"/>
      <c r="E43" s="175"/>
      <c r="F43" s="47">
        <v>0</v>
      </c>
      <c r="G43" s="173" t="e">
        <f t="shared" si="0"/>
        <v>#DIV/0!</v>
      </c>
      <c r="H43" s="177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>
        <v>0</v>
      </c>
      <c r="D44" s="175"/>
      <c r="E44" s="175"/>
      <c r="F44" s="47">
        <v>0</v>
      </c>
      <c r="G44" s="173" t="e">
        <f t="shared" si="0"/>
        <v>#DIV/0!</v>
      </c>
      <c r="H44" s="177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0" t="s">
        <v>47</v>
      </c>
      <c r="B45" s="181" t="s">
        <v>48</v>
      </c>
      <c r="C45" s="177">
        <f>+C46+C48</f>
        <v>274186.5</v>
      </c>
      <c r="D45" s="160">
        <v>560559</v>
      </c>
      <c r="E45" s="160">
        <v>560559</v>
      </c>
      <c r="F45" s="177">
        <f>+F46+F48</f>
        <v>269520.49</v>
      </c>
      <c r="G45" s="177">
        <f>+F45/C45*100</f>
        <v>98.298234960510456</v>
      </c>
      <c r="H45" s="177">
        <f>+F45/E45*100</f>
        <v>48.080664122777442</v>
      </c>
      <c r="I45" s="168"/>
      <c r="J45" s="168"/>
      <c r="K45" s="168"/>
      <c r="L45" s="168"/>
      <c r="M45" s="168"/>
      <c r="N45" s="168"/>
      <c r="O45" s="168"/>
    </row>
    <row r="46" spans="1:15" x14ac:dyDescent="0.2">
      <c r="A46" s="178" t="s">
        <v>310</v>
      </c>
      <c r="B46" s="179" t="s">
        <v>311</v>
      </c>
      <c r="C46" s="177">
        <f>+C47</f>
        <v>0</v>
      </c>
      <c r="D46" s="175"/>
      <c r="E46" s="175"/>
      <c r="F46" s="177">
        <f>+F47</f>
        <v>0</v>
      </c>
      <c r="G46" s="177" t="e">
        <f t="shared" si="0"/>
        <v>#DIV/0!</v>
      </c>
      <c r="H46" s="177"/>
      <c r="I46" s="168"/>
      <c r="J46" s="168"/>
      <c r="K46" s="168"/>
      <c r="L46" s="168"/>
      <c r="M46" s="168"/>
      <c r="N46" s="168"/>
      <c r="O46" s="168"/>
    </row>
    <row r="47" spans="1:15" x14ac:dyDescent="0.2">
      <c r="A47" s="53" t="s">
        <v>312</v>
      </c>
      <c r="B47" s="51" t="s">
        <v>313</v>
      </c>
      <c r="C47" s="47">
        <v>0</v>
      </c>
      <c r="D47" s="175"/>
      <c r="E47" s="175"/>
      <c r="F47" s="47">
        <v>0</v>
      </c>
      <c r="G47" s="173" t="e">
        <f t="shared" si="0"/>
        <v>#DIV/0!</v>
      </c>
      <c r="H47" s="177"/>
      <c r="I47" s="50"/>
      <c r="J47" s="50"/>
      <c r="K47" s="50"/>
      <c r="L47" s="50"/>
      <c r="M47" s="50"/>
      <c r="N47" s="50"/>
      <c r="O47" s="50"/>
    </row>
    <row r="48" spans="1:15" x14ac:dyDescent="0.2">
      <c r="A48" s="178" t="s">
        <v>49</v>
      </c>
      <c r="B48" s="179" t="s">
        <v>50</v>
      </c>
      <c r="C48" s="177">
        <f>+C49+C50</f>
        <v>274186.5</v>
      </c>
      <c r="D48" s="175"/>
      <c r="E48" s="175"/>
      <c r="F48" s="177">
        <f>+F49+F50</f>
        <v>269520.49</v>
      </c>
      <c r="G48" s="177">
        <f t="shared" si="0"/>
        <v>98.298234960510456</v>
      </c>
      <c r="H48" s="177"/>
      <c r="I48" s="168"/>
      <c r="J48" s="168"/>
      <c r="K48" s="168"/>
      <c r="L48" s="168"/>
      <c r="M48" s="168"/>
      <c r="N48" s="168"/>
      <c r="O48" s="168"/>
    </row>
    <row r="49" spans="1:15" x14ac:dyDescent="0.2">
      <c r="A49" s="53" t="s">
        <v>314</v>
      </c>
      <c r="B49" s="51" t="s">
        <v>315</v>
      </c>
      <c r="C49" s="47">
        <v>0</v>
      </c>
      <c r="D49" s="175"/>
      <c r="E49" s="175"/>
      <c r="F49" s="47">
        <v>0</v>
      </c>
      <c r="G49" s="173" t="e">
        <f t="shared" si="0"/>
        <v>#DIV/0!</v>
      </c>
      <c r="H49" s="177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274186.5</v>
      </c>
      <c r="D50" s="175"/>
      <c r="E50" s="175"/>
      <c r="F50" s="47">
        <v>269520.49</v>
      </c>
      <c r="G50" s="173">
        <f t="shared" si="0"/>
        <v>98.298234960510456</v>
      </c>
      <c r="H50" s="177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0" t="s">
        <v>316</v>
      </c>
      <c r="B51" s="181" t="s">
        <v>317</v>
      </c>
      <c r="C51" s="177">
        <f>+C52+C55</f>
        <v>267627.48</v>
      </c>
      <c r="D51" s="160">
        <v>534400</v>
      </c>
      <c r="E51" s="160">
        <v>534400</v>
      </c>
      <c r="F51" s="177">
        <f>+F52+F55</f>
        <v>316283.02</v>
      </c>
      <c r="G51" s="177">
        <f>+F51/C51*100</f>
        <v>118.18032288761977</v>
      </c>
      <c r="H51" s="177">
        <f>+F51/E51*100</f>
        <v>59.184696856287431</v>
      </c>
      <c r="I51" s="168"/>
      <c r="J51" s="168"/>
      <c r="K51" s="168"/>
      <c r="L51" s="168"/>
      <c r="M51" s="168"/>
      <c r="N51" s="168"/>
      <c r="O51" s="168"/>
    </row>
    <row r="52" spans="1:15" x14ac:dyDescent="0.2">
      <c r="A52" s="178" t="s">
        <v>318</v>
      </c>
      <c r="B52" s="179" t="s">
        <v>319</v>
      </c>
      <c r="C52" s="177">
        <f>+C53+C54</f>
        <v>262127.47999999998</v>
      </c>
      <c r="D52" s="175"/>
      <c r="E52" s="175"/>
      <c r="F52" s="177">
        <f>+F53+F54</f>
        <v>316283.02</v>
      </c>
      <c r="G52" s="177">
        <f t="shared" si="0"/>
        <v>120.66000100409163</v>
      </c>
      <c r="H52" s="177"/>
      <c r="I52" s="168"/>
      <c r="J52" s="168"/>
      <c r="K52" s="168"/>
      <c r="L52" s="168"/>
      <c r="M52" s="168"/>
      <c r="N52" s="168"/>
      <c r="O52" s="168"/>
    </row>
    <row r="53" spans="1:15" x14ac:dyDescent="0.2">
      <c r="A53" s="53" t="s">
        <v>320</v>
      </c>
      <c r="B53" s="51" t="s">
        <v>321</v>
      </c>
      <c r="C53" s="47">
        <v>73.400000000000006</v>
      </c>
      <c r="D53" s="175"/>
      <c r="E53" s="175"/>
      <c r="F53" s="47">
        <v>26.25</v>
      </c>
      <c r="G53" s="173">
        <f t="shared" si="0"/>
        <v>35.762942779291549</v>
      </c>
      <c r="H53" s="177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262054.08</v>
      </c>
      <c r="D54" s="175"/>
      <c r="E54" s="175"/>
      <c r="F54" s="47">
        <v>316256.77</v>
      </c>
      <c r="G54" s="173">
        <f t="shared" si="0"/>
        <v>120.68378023345412</v>
      </c>
      <c r="H54" s="177"/>
      <c r="I54" s="50"/>
      <c r="J54" s="50"/>
      <c r="K54" s="50"/>
      <c r="L54" s="50"/>
      <c r="M54" s="50"/>
      <c r="N54" s="50"/>
      <c r="O54" s="50"/>
    </row>
    <row r="55" spans="1:15" x14ac:dyDescent="0.2">
      <c r="A55" s="178" t="s">
        <v>324</v>
      </c>
      <c r="B55" s="179" t="s">
        <v>325</v>
      </c>
      <c r="C55" s="177">
        <f>+C56+C57</f>
        <v>5500</v>
      </c>
      <c r="D55" s="175"/>
      <c r="E55" s="175"/>
      <c r="F55" s="177">
        <f>+F56+F57</f>
        <v>0</v>
      </c>
      <c r="G55" s="177">
        <f t="shared" si="0"/>
        <v>0</v>
      </c>
      <c r="H55" s="177"/>
      <c r="I55" s="168"/>
      <c r="J55" s="168"/>
      <c r="K55" s="168"/>
      <c r="L55" s="168"/>
      <c r="M55" s="168"/>
      <c r="N55" s="168"/>
      <c r="O55" s="168"/>
    </row>
    <row r="56" spans="1:15" x14ac:dyDescent="0.2">
      <c r="A56" s="53" t="s">
        <v>326</v>
      </c>
      <c r="B56" s="51" t="s">
        <v>212</v>
      </c>
      <c r="C56" s="47">
        <v>5500</v>
      </c>
      <c r="D56" s="175"/>
      <c r="E56" s="175"/>
      <c r="F56" s="47">
        <v>0</v>
      </c>
      <c r="G56" s="173">
        <f t="shared" si="0"/>
        <v>0</v>
      </c>
      <c r="H56" s="177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>
        <v>0</v>
      </c>
      <c r="D57" s="175"/>
      <c r="E57" s="175"/>
      <c r="F57" s="47">
        <v>0</v>
      </c>
      <c r="G57" s="173" t="e">
        <f t="shared" si="0"/>
        <v>#DIV/0!</v>
      </c>
      <c r="H57" s="177"/>
      <c r="I57" s="50"/>
      <c r="J57" s="50"/>
      <c r="K57" s="50"/>
      <c r="L57" s="50"/>
      <c r="M57" s="50"/>
      <c r="N57" s="50"/>
      <c r="O57" s="50"/>
    </row>
    <row r="58" spans="1:15" x14ac:dyDescent="0.2">
      <c r="A58" s="180">
        <v>67</v>
      </c>
      <c r="B58" s="181" t="s">
        <v>535</v>
      </c>
      <c r="C58" s="177">
        <f>+C59+C63</f>
        <v>1857137.73</v>
      </c>
      <c r="D58" s="160">
        <v>4113869</v>
      </c>
      <c r="E58" s="160">
        <v>4113869</v>
      </c>
      <c r="F58" s="177">
        <f>+F59+F63</f>
        <v>2149397.9</v>
      </c>
      <c r="G58" s="177">
        <f>+F58/C58*100</f>
        <v>115.73712952350603</v>
      </c>
      <c r="H58" s="177">
        <f>+F58/E58*100</f>
        <v>52.247601953295067</v>
      </c>
      <c r="I58" s="168"/>
      <c r="J58" s="168"/>
      <c r="K58" s="168"/>
      <c r="L58" s="168"/>
      <c r="M58" s="168"/>
      <c r="N58" s="168"/>
      <c r="O58" s="168"/>
    </row>
    <row r="59" spans="1:15" x14ac:dyDescent="0.2">
      <c r="A59" s="178">
        <v>671</v>
      </c>
      <c r="B59" s="179" t="s">
        <v>535</v>
      </c>
      <c r="C59" s="177">
        <f>+C60+C61+C62</f>
        <v>1857137.73</v>
      </c>
      <c r="D59" s="175"/>
      <c r="E59" s="175"/>
      <c r="F59" s="177">
        <f>+F60+F61+F62</f>
        <v>2149397.9</v>
      </c>
      <c r="G59" s="177">
        <f t="shared" si="0"/>
        <v>115.73712952350603</v>
      </c>
      <c r="H59" s="177"/>
      <c r="I59" s="168"/>
      <c r="J59" s="168"/>
      <c r="K59" s="168"/>
      <c r="L59" s="168"/>
      <c r="M59" s="168"/>
      <c r="N59" s="168"/>
      <c r="O59" s="168"/>
    </row>
    <row r="60" spans="1:15" x14ac:dyDescent="0.2">
      <c r="A60" s="170">
        <v>6711</v>
      </c>
      <c r="B60" s="169" t="s">
        <v>536</v>
      </c>
      <c r="C60" s="173">
        <v>1857137.73</v>
      </c>
      <c r="D60" s="175"/>
      <c r="E60" s="175"/>
      <c r="F60" s="173">
        <v>2149397.9</v>
      </c>
      <c r="G60" s="173">
        <f t="shared" si="0"/>
        <v>115.73712952350603</v>
      </c>
      <c r="H60" s="177"/>
      <c r="I60" s="168"/>
      <c r="J60" s="168"/>
      <c r="K60" s="168"/>
      <c r="L60" s="168"/>
      <c r="M60" s="168"/>
      <c r="N60" s="168"/>
      <c r="O60" s="168"/>
    </row>
    <row r="61" spans="1:15" x14ac:dyDescent="0.2">
      <c r="A61" s="170">
        <v>6712</v>
      </c>
      <c r="B61" s="169" t="s">
        <v>536</v>
      </c>
      <c r="C61" s="173">
        <v>0</v>
      </c>
      <c r="D61" s="175"/>
      <c r="E61" s="175"/>
      <c r="F61" s="173">
        <v>0</v>
      </c>
      <c r="G61" s="173" t="e">
        <f t="shared" si="0"/>
        <v>#DIV/0!</v>
      </c>
      <c r="H61" s="177"/>
      <c r="I61" s="168"/>
      <c r="J61" s="168"/>
      <c r="K61" s="168"/>
      <c r="L61" s="168"/>
      <c r="M61" s="168"/>
      <c r="N61" s="168"/>
      <c r="O61" s="168"/>
    </row>
    <row r="62" spans="1:15" x14ac:dyDescent="0.2">
      <c r="A62" s="170">
        <v>6714</v>
      </c>
      <c r="B62" s="169" t="s">
        <v>537</v>
      </c>
      <c r="C62" s="173">
        <v>0</v>
      </c>
      <c r="D62" s="175"/>
      <c r="E62" s="175"/>
      <c r="F62" s="173">
        <v>0</v>
      </c>
      <c r="G62" s="173" t="e">
        <f t="shared" si="0"/>
        <v>#DIV/0!</v>
      </c>
      <c r="H62" s="177"/>
      <c r="I62" s="168"/>
      <c r="J62" s="168"/>
      <c r="K62" s="168"/>
      <c r="L62" s="168"/>
      <c r="M62" s="168"/>
      <c r="N62" s="168"/>
      <c r="O62" s="168"/>
    </row>
    <row r="63" spans="1:15" x14ac:dyDescent="0.2">
      <c r="A63" s="178">
        <v>673</v>
      </c>
      <c r="B63" s="179" t="s">
        <v>545</v>
      </c>
      <c r="C63" s="177">
        <f>+C64</f>
        <v>0</v>
      </c>
      <c r="D63" s="175"/>
      <c r="E63" s="175"/>
      <c r="F63" s="177">
        <f>+F64</f>
        <v>0</v>
      </c>
      <c r="G63" s="177" t="e">
        <f t="shared" si="0"/>
        <v>#DIV/0!</v>
      </c>
      <c r="H63" s="177"/>
      <c r="I63" s="168"/>
      <c r="J63" s="168"/>
      <c r="K63" s="168"/>
      <c r="L63" s="168"/>
      <c r="M63" s="168"/>
      <c r="N63" s="168"/>
      <c r="O63" s="168"/>
    </row>
    <row r="64" spans="1:15" x14ac:dyDescent="0.2">
      <c r="A64" s="170">
        <v>6731</v>
      </c>
      <c r="B64" s="169" t="s">
        <v>545</v>
      </c>
      <c r="C64" s="173"/>
      <c r="D64" s="175"/>
      <c r="E64" s="175"/>
      <c r="F64" s="173">
        <v>0</v>
      </c>
      <c r="G64" s="173" t="e">
        <f t="shared" si="0"/>
        <v>#DIV/0!</v>
      </c>
      <c r="H64" s="177"/>
      <c r="I64" s="168"/>
      <c r="J64" s="168"/>
      <c r="K64" s="168"/>
      <c r="L64" s="168"/>
      <c r="M64" s="168"/>
      <c r="N64" s="168"/>
      <c r="O64" s="168"/>
    </row>
    <row r="65" spans="1:15" x14ac:dyDescent="0.2">
      <c r="A65" s="180" t="s">
        <v>328</v>
      </c>
      <c r="B65" s="181" t="s">
        <v>329</v>
      </c>
      <c r="C65" s="177">
        <f>+C66+C68</f>
        <v>1890.71</v>
      </c>
      <c r="D65" s="160">
        <v>0</v>
      </c>
      <c r="E65" s="160">
        <v>0</v>
      </c>
      <c r="F65" s="177">
        <f>+F66+F68</f>
        <v>0.01</v>
      </c>
      <c r="G65" s="177">
        <f>+F65/C65*100</f>
        <v>5.2890184110730893E-4</v>
      </c>
      <c r="H65" s="177" t="e">
        <f>+F65/E65*100</f>
        <v>#DIV/0!</v>
      </c>
      <c r="I65" s="168"/>
      <c r="J65" s="168"/>
      <c r="K65" s="168"/>
      <c r="L65" s="168"/>
      <c r="M65" s="168"/>
      <c r="N65" s="168"/>
      <c r="O65" s="168"/>
    </row>
    <row r="66" spans="1:15" x14ac:dyDescent="0.2">
      <c r="A66" s="178" t="s">
        <v>330</v>
      </c>
      <c r="B66" s="179" t="s">
        <v>331</v>
      </c>
      <c r="C66" s="177">
        <f>+C67</f>
        <v>0</v>
      </c>
      <c r="D66" s="175"/>
      <c r="E66" s="175"/>
      <c r="F66" s="177">
        <f>+F67</f>
        <v>0</v>
      </c>
      <c r="G66" s="177" t="e">
        <f t="shared" si="0"/>
        <v>#DIV/0!</v>
      </c>
      <c r="H66" s="177"/>
      <c r="I66" s="168"/>
      <c r="J66" s="168"/>
      <c r="K66" s="168"/>
      <c r="L66" s="168"/>
      <c r="M66" s="168"/>
      <c r="N66" s="168"/>
      <c r="O66" s="168"/>
    </row>
    <row r="67" spans="1:15" x14ac:dyDescent="0.2">
      <c r="A67" s="53" t="s">
        <v>332</v>
      </c>
      <c r="B67" s="51" t="s">
        <v>333</v>
      </c>
      <c r="C67" s="47">
        <v>0</v>
      </c>
      <c r="D67" s="175"/>
      <c r="E67" s="175"/>
      <c r="F67" s="47">
        <v>0</v>
      </c>
      <c r="G67" s="173" t="e">
        <f t="shared" si="0"/>
        <v>#DIV/0!</v>
      </c>
      <c r="H67" s="177"/>
      <c r="I67" s="50"/>
      <c r="J67" s="50"/>
      <c r="K67" s="50"/>
      <c r="L67" s="50"/>
      <c r="M67" s="50"/>
      <c r="N67" s="50"/>
      <c r="O67" s="50"/>
    </row>
    <row r="68" spans="1:15" x14ac:dyDescent="0.2">
      <c r="A68" s="178" t="s">
        <v>334</v>
      </c>
      <c r="B68" s="179" t="s">
        <v>335</v>
      </c>
      <c r="C68" s="177">
        <f>+C69</f>
        <v>1890.71</v>
      </c>
      <c r="D68" s="175"/>
      <c r="E68" s="175"/>
      <c r="F68" s="177">
        <f>+F69</f>
        <v>0.01</v>
      </c>
      <c r="G68" s="177">
        <f t="shared" si="0"/>
        <v>5.2890184110730893E-4</v>
      </c>
      <c r="H68" s="177"/>
      <c r="I68" s="168"/>
      <c r="J68" s="168"/>
      <c r="K68" s="168"/>
      <c r="L68" s="168"/>
      <c r="M68" s="168"/>
      <c r="N68" s="168"/>
      <c r="O68" s="168"/>
    </row>
    <row r="69" spans="1:15" x14ac:dyDescent="0.2">
      <c r="A69" s="53" t="s">
        <v>336</v>
      </c>
      <c r="B69" s="51" t="s">
        <v>335</v>
      </c>
      <c r="C69" s="47">
        <v>1890.71</v>
      </c>
      <c r="D69" s="175"/>
      <c r="E69" s="175"/>
      <c r="F69" s="47">
        <v>0.01</v>
      </c>
      <c r="G69" s="173">
        <f t="shared" si="0"/>
        <v>5.2890184110730893E-4</v>
      </c>
      <c r="H69" s="177"/>
      <c r="I69" s="50"/>
      <c r="J69" s="50"/>
      <c r="K69" s="50"/>
      <c r="L69" s="50"/>
      <c r="M69" s="50"/>
      <c r="N69" s="50"/>
      <c r="O69" s="50"/>
    </row>
    <row r="70" spans="1:15" x14ac:dyDescent="0.2">
      <c r="A70" s="192" t="s">
        <v>337</v>
      </c>
      <c r="B70" s="193" t="s">
        <v>338</v>
      </c>
      <c r="C70" s="194">
        <f>+C71+C76</f>
        <v>0</v>
      </c>
      <c r="D70" s="195">
        <f>+D71+D76</f>
        <v>0</v>
      </c>
      <c r="E70" s="195">
        <f>+E71+E76</f>
        <v>0</v>
      </c>
      <c r="F70" s="194">
        <f>+F71+F76</f>
        <v>0</v>
      </c>
      <c r="G70" s="196" t="e">
        <f>+F70/C70*100</f>
        <v>#DIV/0!</v>
      </c>
      <c r="H70" s="196" t="e">
        <f>+F70/E70*100</f>
        <v>#DIV/0!</v>
      </c>
      <c r="I70" s="165"/>
      <c r="J70" s="165"/>
      <c r="K70" s="165"/>
      <c r="L70" s="165"/>
      <c r="M70" s="165"/>
      <c r="N70" s="165"/>
      <c r="O70" s="165"/>
    </row>
    <row r="71" spans="1:15" x14ac:dyDescent="0.2">
      <c r="A71" s="180" t="s">
        <v>339</v>
      </c>
      <c r="B71" s="181" t="s">
        <v>340</v>
      </c>
      <c r="C71" s="177">
        <f>+C72+C74</f>
        <v>0</v>
      </c>
      <c r="D71" s="160">
        <v>0</v>
      </c>
      <c r="E71" s="160">
        <v>0</v>
      </c>
      <c r="F71" s="177">
        <f>+F72+F74</f>
        <v>0</v>
      </c>
      <c r="G71" s="177" t="e">
        <f>+F71/C71*100</f>
        <v>#DIV/0!</v>
      </c>
      <c r="H71" s="177" t="e">
        <f>+F71/E71*100</f>
        <v>#DIV/0!</v>
      </c>
      <c r="I71" s="168"/>
      <c r="J71" s="168"/>
      <c r="K71" s="168"/>
      <c r="L71" s="168"/>
      <c r="M71" s="168"/>
      <c r="N71" s="168"/>
      <c r="O71" s="168"/>
    </row>
    <row r="72" spans="1:15" x14ac:dyDescent="0.2">
      <c r="A72" s="178" t="s">
        <v>341</v>
      </c>
      <c r="B72" s="179" t="s">
        <v>342</v>
      </c>
      <c r="C72" s="177">
        <f>+C73</f>
        <v>0</v>
      </c>
      <c r="D72" s="175"/>
      <c r="E72" s="175"/>
      <c r="F72" s="177">
        <f>+F73</f>
        <v>0</v>
      </c>
      <c r="G72" s="177" t="e">
        <f t="shared" si="0"/>
        <v>#DIV/0!</v>
      </c>
      <c r="H72" s="177"/>
      <c r="I72" s="168"/>
      <c r="J72" s="168"/>
      <c r="K72" s="168"/>
      <c r="L72" s="168"/>
      <c r="M72" s="168"/>
      <c r="N72" s="168"/>
      <c r="O72" s="168"/>
    </row>
    <row r="73" spans="1:15" x14ac:dyDescent="0.2">
      <c r="A73" s="53" t="s">
        <v>343</v>
      </c>
      <c r="B73" s="51" t="s">
        <v>344</v>
      </c>
      <c r="C73" s="47">
        <v>0</v>
      </c>
      <c r="D73" s="175"/>
      <c r="E73" s="175"/>
      <c r="F73" s="47">
        <v>0</v>
      </c>
      <c r="G73" s="173" t="e">
        <f t="shared" ref="G73:G87" si="1">+F73/C73*100</f>
        <v>#DIV/0!</v>
      </c>
      <c r="H73" s="177"/>
      <c r="I73" s="50"/>
      <c r="J73" s="50"/>
      <c r="K73" s="50"/>
      <c r="L73" s="50"/>
      <c r="M73" s="50"/>
      <c r="N73" s="50"/>
      <c r="O73" s="50"/>
    </row>
    <row r="74" spans="1:15" x14ac:dyDescent="0.2">
      <c r="A74" s="178" t="s">
        <v>345</v>
      </c>
      <c r="B74" s="179" t="s">
        <v>346</v>
      </c>
      <c r="C74" s="177">
        <f>+C75</f>
        <v>0</v>
      </c>
      <c r="D74" s="175"/>
      <c r="E74" s="175"/>
      <c r="F74" s="177">
        <f>+F75</f>
        <v>0</v>
      </c>
      <c r="G74" s="177" t="e">
        <f t="shared" si="1"/>
        <v>#DIV/0!</v>
      </c>
      <c r="H74" s="177"/>
      <c r="I74" s="168"/>
      <c r="J74" s="168"/>
      <c r="K74" s="168"/>
      <c r="L74" s="168"/>
      <c r="M74" s="168"/>
      <c r="N74" s="168"/>
      <c r="O74" s="168"/>
    </row>
    <row r="75" spans="1:15" x14ac:dyDescent="0.2">
      <c r="A75" s="53" t="s">
        <v>347</v>
      </c>
      <c r="B75" s="51" t="s">
        <v>348</v>
      </c>
      <c r="C75" s="47">
        <v>0</v>
      </c>
      <c r="D75" s="175"/>
      <c r="E75" s="175"/>
      <c r="F75" s="47">
        <v>0</v>
      </c>
      <c r="G75" s="173" t="e">
        <f t="shared" si="1"/>
        <v>#DIV/0!</v>
      </c>
      <c r="H75" s="177"/>
      <c r="I75" s="50"/>
      <c r="J75" s="50"/>
      <c r="K75" s="50"/>
      <c r="L75" s="50"/>
      <c r="M75" s="50"/>
      <c r="N75" s="50"/>
      <c r="O75" s="50"/>
    </row>
    <row r="76" spans="1:15" x14ac:dyDescent="0.2">
      <c r="A76" s="180" t="s">
        <v>349</v>
      </c>
      <c r="B76" s="181" t="s">
        <v>350</v>
      </c>
      <c r="C76" s="177">
        <f>+C77+C80+C84+C87</f>
        <v>0</v>
      </c>
      <c r="D76" s="48">
        <v>0</v>
      </c>
      <c r="E76" s="48">
        <v>0</v>
      </c>
      <c r="F76" s="177">
        <f>+F77+F80+F84+F87</f>
        <v>0</v>
      </c>
      <c r="G76" s="177" t="e">
        <f>+F76/C76*100</f>
        <v>#DIV/0!</v>
      </c>
      <c r="H76" s="177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8" t="s">
        <v>351</v>
      </c>
      <c r="B77" s="179" t="s">
        <v>352</v>
      </c>
      <c r="C77" s="177">
        <f>+C78+C79</f>
        <v>0</v>
      </c>
      <c r="D77" s="175"/>
      <c r="E77" s="175"/>
      <c r="F77" s="177">
        <f>+F78+F79</f>
        <v>0</v>
      </c>
      <c r="G77" s="177" t="e">
        <f t="shared" si="1"/>
        <v>#DIV/0!</v>
      </c>
      <c r="H77" s="177"/>
      <c r="I77" s="168"/>
      <c r="J77" s="168"/>
      <c r="K77" s="168"/>
      <c r="L77" s="168"/>
      <c r="M77" s="168"/>
      <c r="N77" s="168"/>
      <c r="O77" s="168"/>
    </row>
    <row r="78" spans="1:15" x14ac:dyDescent="0.2">
      <c r="A78" s="53" t="s">
        <v>353</v>
      </c>
      <c r="B78" s="51" t="s">
        <v>354</v>
      </c>
      <c r="C78" s="47">
        <v>0</v>
      </c>
      <c r="D78" s="175"/>
      <c r="E78" s="175"/>
      <c r="F78" s="47">
        <v>0</v>
      </c>
      <c r="G78" s="173" t="e">
        <f>+F78/C78*100</f>
        <v>#DIV/0!</v>
      </c>
      <c r="H78" s="177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>
        <v>0</v>
      </c>
      <c r="D79" s="175"/>
      <c r="E79" s="175"/>
      <c r="F79" s="47">
        <v>0</v>
      </c>
      <c r="G79" s="173" t="e">
        <f t="shared" si="1"/>
        <v>#DIV/0!</v>
      </c>
      <c r="H79" s="177"/>
      <c r="I79" s="50"/>
      <c r="J79" s="50"/>
      <c r="K79" s="50"/>
      <c r="L79" s="50"/>
      <c r="M79" s="50"/>
      <c r="N79" s="50"/>
      <c r="O79" s="50"/>
    </row>
    <row r="80" spans="1:15" x14ac:dyDescent="0.2">
      <c r="A80" s="178" t="s">
        <v>356</v>
      </c>
      <c r="B80" s="179" t="s">
        <v>357</v>
      </c>
      <c r="C80" s="177">
        <f>+C81+C82+C83</f>
        <v>0</v>
      </c>
      <c r="D80" s="175"/>
      <c r="E80" s="175"/>
      <c r="F80" s="177">
        <f>+F81+F82+F83</f>
        <v>0</v>
      </c>
      <c r="G80" s="177" t="e">
        <f t="shared" si="1"/>
        <v>#DIV/0!</v>
      </c>
      <c r="H80" s="177"/>
      <c r="I80" s="168"/>
      <c r="J80" s="168"/>
      <c r="K80" s="168"/>
      <c r="L80" s="168"/>
      <c r="M80" s="168"/>
      <c r="N80" s="168"/>
      <c r="O80" s="168"/>
    </row>
    <row r="81" spans="1:15" x14ac:dyDescent="0.2">
      <c r="A81" s="53" t="s">
        <v>358</v>
      </c>
      <c r="B81" s="51" t="s">
        <v>242</v>
      </c>
      <c r="C81" s="47">
        <v>0</v>
      </c>
      <c r="D81" s="175"/>
      <c r="E81" s="175"/>
      <c r="F81" s="47">
        <v>0</v>
      </c>
      <c r="G81" s="173" t="e">
        <f t="shared" si="1"/>
        <v>#DIV/0!</v>
      </c>
      <c r="H81" s="177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>
        <v>0</v>
      </c>
      <c r="D82" s="175"/>
      <c r="E82" s="175"/>
      <c r="F82" s="47">
        <v>0</v>
      </c>
      <c r="G82" s="173" t="e">
        <f t="shared" si="1"/>
        <v>#DIV/0!</v>
      </c>
      <c r="H82" s="177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>
        <v>0</v>
      </c>
      <c r="D83" s="175"/>
      <c r="E83" s="175"/>
      <c r="F83" s="47">
        <v>0</v>
      </c>
      <c r="G83" s="173" t="e">
        <f t="shared" si="1"/>
        <v>#DIV/0!</v>
      </c>
      <c r="H83" s="177"/>
      <c r="I83" s="50"/>
      <c r="J83" s="50"/>
      <c r="K83" s="50"/>
      <c r="L83" s="50"/>
      <c r="M83" s="50"/>
      <c r="N83" s="50"/>
      <c r="O83" s="50"/>
    </row>
    <row r="84" spans="1:15" x14ac:dyDescent="0.2">
      <c r="A84" s="178" t="s">
        <v>363</v>
      </c>
      <c r="B84" s="179" t="s">
        <v>364</v>
      </c>
      <c r="C84" s="177">
        <f>+C85+C86</f>
        <v>0</v>
      </c>
      <c r="D84" s="175"/>
      <c r="E84" s="175"/>
      <c r="F84" s="177">
        <f>+F85+F86</f>
        <v>0</v>
      </c>
      <c r="G84" s="177" t="e">
        <f t="shared" si="1"/>
        <v>#DIV/0!</v>
      </c>
      <c r="H84" s="177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>
        <v>0</v>
      </c>
      <c r="D85" s="175"/>
      <c r="E85" s="175"/>
      <c r="F85" s="47">
        <v>0</v>
      </c>
      <c r="G85" s="173" t="e">
        <f t="shared" si="1"/>
        <v>#DIV/0!</v>
      </c>
      <c r="H85" s="177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>
        <v>0</v>
      </c>
      <c r="D86" s="175"/>
      <c r="E86" s="175"/>
      <c r="F86" s="47">
        <v>0</v>
      </c>
      <c r="G86" s="173" t="e">
        <f t="shared" si="1"/>
        <v>#DIV/0!</v>
      </c>
      <c r="H86" s="177"/>
      <c r="I86" s="50"/>
      <c r="J86" s="50"/>
      <c r="K86" s="50"/>
      <c r="L86" s="50"/>
      <c r="M86" s="50"/>
      <c r="N86" s="50"/>
      <c r="O86" s="50"/>
    </row>
    <row r="87" spans="1:15" x14ac:dyDescent="0.2">
      <c r="A87" s="178" t="s">
        <v>369</v>
      </c>
      <c r="B87" s="179" t="s">
        <v>370</v>
      </c>
      <c r="C87" s="177">
        <f>+C88</f>
        <v>0</v>
      </c>
      <c r="D87" s="175"/>
      <c r="E87" s="175"/>
      <c r="F87" s="177">
        <f>+F88</f>
        <v>0</v>
      </c>
      <c r="G87" s="177" t="e">
        <f t="shared" si="1"/>
        <v>#DIV/0!</v>
      </c>
      <c r="H87" s="177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>
        <v>0</v>
      </c>
      <c r="D88" s="175"/>
      <c r="E88" s="175"/>
      <c r="F88" s="47">
        <v>0</v>
      </c>
      <c r="G88" s="173" t="e">
        <f>+F88/C88*100</f>
        <v>#DIV/0!</v>
      </c>
      <c r="H88" s="177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155" sqref="E155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393" t="s">
        <v>0</v>
      </c>
      <c r="B1" s="393"/>
      <c r="C1" s="393"/>
      <c r="D1" s="393"/>
      <c r="E1" s="393"/>
      <c r="F1" s="393"/>
      <c r="G1" s="393"/>
      <c r="H1" s="393"/>
      <c r="I1" s="38"/>
      <c r="J1" s="38"/>
      <c r="K1" s="38"/>
      <c r="L1" s="163"/>
      <c r="M1" s="163"/>
      <c r="N1" s="163"/>
      <c r="O1" s="163"/>
    </row>
    <row r="2" spans="1:15" ht="18" hidden="1" x14ac:dyDescent="0.2">
      <c r="A2" s="166"/>
      <c r="B2" s="166"/>
      <c r="C2" s="166"/>
      <c r="D2" s="166"/>
      <c r="E2" s="166"/>
      <c r="F2" s="166"/>
      <c r="G2" s="166"/>
      <c r="H2" s="176"/>
      <c r="I2" s="167"/>
      <c r="J2" s="167"/>
      <c r="K2" s="167"/>
      <c r="L2" s="163"/>
      <c r="M2" s="163"/>
      <c r="N2" s="163"/>
      <c r="O2" s="163"/>
    </row>
    <row r="3" spans="1:15" ht="15.75" hidden="1" customHeight="1" x14ac:dyDescent="0.2">
      <c r="A3" s="393" t="s">
        <v>23</v>
      </c>
      <c r="B3" s="393"/>
      <c r="C3" s="393"/>
      <c r="D3" s="393"/>
      <c r="E3" s="393"/>
      <c r="F3" s="393"/>
      <c r="G3" s="393"/>
      <c r="H3" s="393"/>
      <c r="I3" s="38"/>
      <c r="J3" s="38"/>
      <c r="K3" s="38"/>
      <c r="L3" s="163"/>
      <c r="M3" s="163"/>
      <c r="N3" s="163"/>
      <c r="O3" s="163"/>
    </row>
    <row r="4" spans="1:15" ht="18" hidden="1" x14ac:dyDescent="0.2">
      <c r="A4" s="166"/>
      <c r="B4" s="166"/>
      <c r="C4" s="166"/>
      <c r="D4" s="166"/>
      <c r="E4" s="166"/>
      <c r="F4" s="166"/>
      <c r="G4" s="166"/>
      <c r="H4" s="176"/>
      <c r="I4" s="167"/>
      <c r="J4" s="167"/>
      <c r="K4" s="167"/>
      <c r="L4" s="163"/>
      <c r="M4" s="163"/>
      <c r="N4" s="163"/>
      <c r="O4" s="163"/>
    </row>
    <row r="5" spans="1:15" ht="15.75" hidden="1" customHeight="1" x14ac:dyDescent="0.2">
      <c r="A5" s="393" t="s">
        <v>24</v>
      </c>
      <c r="B5" s="393"/>
      <c r="C5" s="393"/>
      <c r="D5" s="393"/>
      <c r="E5" s="393"/>
      <c r="F5" s="393"/>
      <c r="G5" s="393"/>
      <c r="H5" s="393"/>
      <c r="I5" s="38"/>
      <c r="J5" s="38"/>
      <c r="K5" s="38"/>
      <c r="L5" s="163"/>
      <c r="M5" s="163"/>
      <c r="N5" s="163"/>
      <c r="O5" s="163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6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392" t="s">
        <v>3</v>
      </c>
      <c r="B7" s="392"/>
      <c r="C7" s="161" t="s">
        <v>562</v>
      </c>
      <c r="D7" s="161" t="s">
        <v>563</v>
      </c>
      <c r="E7" s="161" t="s">
        <v>564</v>
      </c>
      <c r="F7" s="161" t="s">
        <v>565</v>
      </c>
      <c r="G7" s="69" t="s">
        <v>260</v>
      </c>
      <c r="H7" s="161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391">
        <v>1</v>
      </c>
      <c r="B8" s="391"/>
      <c r="C8" s="70">
        <v>2</v>
      </c>
      <c r="D8" s="70">
        <v>3</v>
      </c>
      <c r="E8" s="70">
        <v>4.3333333333333304</v>
      </c>
      <c r="F8" s="70">
        <v>5.0833333333333304</v>
      </c>
      <c r="G8" s="70">
        <v>6</v>
      </c>
      <c r="H8" s="162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8"/>
      <c r="B9" s="199" t="s">
        <v>80</v>
      </c>
      <c r="C9" s="191">
        <f>+C10+C113</f>
        <v>2281615.8799999994</v>
      </c>
      <c r="D9" s="191">
        <f>+D10+D113</f>
        <v>5476275</v>
      </c>
      <c r="E9" s="191">
        <f>+E10+E113</f>
        <v>5476275</v>
      </c>
      <c r="F9" s="191">
        <f>+F10+F113</f>
        <v>2727429.27</v>
      </c>
      <c r="G9" s="191">
        <f t="shared" ref="G9:G72" si="0">+F9/C9*100</f>
        <v>119.53937093039519</v>
      </c>
      <c r="H9" s="191">
        <f>+F9/D9*100</f>
        <v>49.804461426791022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2" t="s">
        <v>81</v>
      </c>
      <c r="B10" s="193" t="s">
        <v>82</v>
      </c>
      <c r="C10" s="194">
        <f>+C11++C23+C56+C65+C73+C90+C98</f>
        <v>2264481.6699999995</v>
      </c>
      <c r="D10" s="195">
        <f>+D11++D23+D56+D65+D73+D90+D98</f>
        <v>5335430</v>
      </c>
      <c r="E10" s="195">
        <f>+E11++E23+E56+E65+E73+E90+E98</f>
        <v>5335430</v>
      </c>
      <c r="F10" s="194">
        <f>+F11++F23+F56+F65+F73+F90+F98</f>
        <v>2698758.6</v>
      </c>
      <c r="G10" s="194">
        <f>+F10/C10*100</f>
        <v>119.17776309489847</v>
      </c>
      <c r="H10" s="194">
        <f>+F10/D10*100</f>
        <v>50.581838764635656</v>
      </c>
      <c r="I10" s="165"/>
      <c r="J10" s="165"/>
      <c r="K10" s="165"/>
      <c r="L10" s="165"/>
      <c r="M10" s="165"/>
      <c r="N10" s="165"/>
      <c r="O10" s="165"/>
    </row>
    <row r="11" spans="1:15" x14ac:dyDescent="0.2">
      <c r="A11" s="180" t="s">
        <v>83</v>
      </c>
      <c r="B11" s="181" t="s">
        <v>84</v>
      </c>
      <c r="C11" s="177">
        <f>+C12+C17+C19</f>
        <v>1878793.72</v>
      </c>
      <c r="D11" s="160">
        <v>4442961</v>
      </c>
      <c r="E11" s="160">
        <v>4442961</v>
      </c>
      <c r="F11" s="177">
        <f>+F12+F17+F19</f>
        <v>2282993.27</v>
      </c>
      <c r="G11" s="177">
        <f t="shared" si="0"/>
        <v>121.51378012909262</v>
      </c>
      <c r="H11" s="177">
        <f>+F11/D11*100</f>
        <v>51.38449943629935</v>
      </c>
      <c r="I11" s="168"/>
      <c r="J11" s="168"/>
      <c r="K11" s="168"/>
      <c r="L11" s="168"/>
      <c r="M11" s="168"/>
      <c r="N11" s="168"/>
      <c r="O11" s="168"/>
    </row>
    <row r="12" spans="1:15" x14ac:dyDescent="0.2">
      <c r="A12" s="178" t="s">
        <v>85</v>
      </c>
      <c r="B12" s="179" t="s">
        <v>86</v>
      </c>
      <c r="C12" s="177">
        <f>SUM(C13:C16)</f>
        <v>1508296.96</v>
      </c>
      <c r="D12" s="175"/>
      <c r="E12" s="175"/>
      <c r="F12" s="177">
        <f>SUM(F13:F16)</f>
        <v>1844142.66</v>
      </c>
      <c r="G12" s="177">
        <f t="shared" si="0"/>
        <v>122.26655021568166</v>
      </c>
      <c r="H12" s="177"/>
      <c r="I12" s="168"/>
      <c r="J12" s="168"/>
      <c r="K12" s="168"/>
      <c r="L12" s="168"/>
      <c r="M12" s="168"/>
      <c r="N12" s="168"/>
      <c r="O12" s="168"/>
    </row>
    <row r="13" spans="1:15" x14ac:dyDescent="0.2">
      <c r="A13" s="68" t="s">
        <v>87</v>
      </c>
      <c r="B13" s="67" t="s">
        <v>88</v>
      </c>
      <c r="C13" s="64">
        <v>1499661.98</v>
      </c>
      <c r="D13" s="174"/>
      <c r="E13" s="174"/>
      <c r="F13" s="173">
        <v>1836623.88</v>
      </c>
      <c r="G13" s="173">
        <f t="shared" si="0"/>
        <v>122.46919002374122</v>
      </c>
      <c r="H13" s="177"/>
      <c r="I13" s="65"/>
      <c r="J13" s="65"/>
      <c r="K13" s="65"/>
      <c r="L13" s="65"/>
      <c r="M13" s="66"/>
      <c r="N13" s="66"/>
      <c r="O13" s="66"/>
    </row>
    <row r="14" spans="1:15" x14ac:dyDescent="0.2">
      <c r="A14" s="68" t="s">
        <v>373</v>
      </c>
      <c r="B14" s="67" t="s">
        <v>374</v>
      </c>
      <c r="C14" s="64">
        <v>0</v>
      </c>
      <c r="D14" s="174"/>
      <c r="E14" s="174"/>
      <c r="F14" s="173">
        <v>0</v>
      </c>
      <c r="G14" s="173" t="e">
        <f t="shared" si="0"/>
        <v>#DIV/0!</v>
      </c>
      <c r="H14" s="177"/>
      <c r="I14" s="65"/>
      <c r="J14" s="65"/>
      <c r="K14" s="65"/>
      <c r="L14" s="65"/>
      <c r="M14" s="66"/>
      <c r="N14" s="66"/>
      <c r="O14" s="66"/>
    </row>
    <row r="15" spans="1:15" x14ac:dyDescent="0.2">
      <c r="A15" s="68" t="s">
        <v>89</v>
      </c>
      <c r="B15" s="67" t="s">
        <v>90</v>
      </c>
      <c r="C15" s="64">
        <v>8634.98</v>
      </c>
      <c r="D15" s="174"/>
      <c r="E15" s="174"/>
      <c r="F15" s="173">
        <v>7518.78</v>
      </c>
      <c r="G15" s="173">
        <f t="shared" si="0"/>
        <v>87.073507987279655</v>
      </c>
      <c r="H15" s="177"/>
      <c r="I15" s="65"/>
      <c r="J15" s="65"/>
      <c r="K15" s="65"/>
      <c r="L15" s="65"/>
      <c r="M15" s="66"/>
      <c r="N15" s="66"/>
      <c r="O15" s="66"/>
    </row>
    <row r="16" spans="1:15" x14ac:dyDescent="0.2">
      <c r="A16" s="68" t="s">
        <v>375</v>
      </c>
      <c r="B16" s="67" t="s">
        <v>376</v>
      </c>
      <c r="C16" s="64">
        <v>0</v>
      </c>
      <c r="D16" s="174"/>
      <c r="E16" s="174"/>
      <c r="F16" s="173">
        <v>0</v>
      </c>
      <c r="G16" s="173" t="e">
        <f t="shared" si="0"/>
        <v>#DIV/0!</v>
      </c>
      <c r="H16" s="177"/>
      <c r="I16" s="65"/>
      <c r="J16" s="65"/>
      <c r="K16" s="65"/>
      <c r="L16" s="65"/>
      <c r="M16" s="66"/>
      <c r="N16" s="66"/>
      <c r="O16" s="66"/>
    </row>
    <row r="17" spans="1:15" x14ac:dyDescent="0.2">
      <c r="A17" s="178" t="s">
        <v>91</v>
      </c>
      <c r="B17" s="179" t="s">
        <v>92</v>
      </c>
      <c r="C17" s="177">
        <f>+C18</f>
        <v>122019.95</v>
      </c>
      <c r="D17" s="175"/>
      <c r="E17" s="175"/>
      <c r="F17" s="177">
        <f>+F18</f>
        <v>134393.34</v>
      </c>
      <c r="G17" s="177">
        <f t="shared" si="0"/>
        <v>110.14046473547974</v>
      </c>
      <c r="H17" s="177"/>
      <c r="I17" s="168"/>
      <c r="J17" s="168"/>
      <c r="K17" s="168"/>
      <c r="L17" s="168"/>
      <c r="M17" s="168"/>
      <c r="N17" s="168"/>
      <c r="O17" s="168"/>
    </row>
    <row r="18" spans="1:15" x14ac:dyDescent="0.2">
      <c r="A18" s="68" t="s">
        <v>93</v>
      </c>
      <c r="B18" s="67" t="s">
        <v>92</v>
      </c>
      <c r="C18" s="64">
        <v>122019.95</v>
      </c>
      <c r="D18" s="174"/>
      <c r="E18" s="174"/>
      <c r="F18" s="173">
        <v>134393.34</v>
      </c>
      <c r="G18" s="173">
        <f t="shared" si="0"/>
        <v>110.14046473547974</v>
      </c>
      <c r="H18" s="177"/>
      <c r="I18" s="65"/>
      <c r="J18" s="65"/>
      <c r="K18" s="65"/>
      <c r="L18" s="65"/>
      <c r="M18" s="66"/>
      <c r="N18" s="66"/>
      <c r="O18" s="66"/>
    </row>
    <row r="19" spans="1:15" x14ac:dyDescent="0.2">
      <c r="A19" s="178" t="s">
        <v>94</v>
      </c>
      <c r="B19" s="179" t="s">
        <v>95</v>
      </c>
      <c r="C19" s="177">
        <f>SUM(C20:C22)</f>
        <v>248476.81</v>
      </c>
      <c r="D19" s="175"/>
      <c r="E19" s="175"/>
      <c r="F19" s="177">
        <f>SUM(F20:F22)</f>
        <v>304457.26999999996</v>
      </c>
      <c r="G19" s="177">
        <f t="shared" si="0"/>
        <v>122.52945053504187</v>
      </c>
      <c r="H19" s="177"/>
      <c r="I19" s="168"/>
      <c r="J19" s="168"/>
      <c r="K19" s="168"/>
      <c r="L19" s="168"/>
      <c r="M19" s="168"/>
      <c r="N19" s="168"/>
      <c r="O19" s="168"/>
    </row>
    <row r="20" spans="1:15" x14ac:dyDescent="0.2">
      <c r="A20" s="68" t="s">
        <v>377</v>
      </c>
      <c r="B20" s="67" t="s">
        <v>378</v>
      </c>
      <c r="C20" s="64">
        <v>0</v>
      </c>
      <c r="D20" s="174"/>
      <c r="E20" s="174"/>
      <c r="F20" s="173">
        <v>0</v>
      </c>
      <c r="G20" s="173" t="e">
        <f t="shared" si="0"/>
        <v>#DIV/0!</v>
      </c>
      <c r="H20" s="177"/>
      <c r="I20" s="65"/>
      <c r="J20" s="65"/>
      <c r="K20" s="65"/>
      <c r="L20" s="65"/>
      <c r="M20" s="66"/>
      <c r="N20" s="66"/>
      <c r="O20" s="66"/>
    </row>
    <row r="21" spans="1:15" x14ac:dyDescent="0.2">
      <c r="A21" s="68" t="s">
        <v>96</v>
      </c>
      <c r="B21" s="67" t="s">
        <v>97</v>
      </c>
      <c r="C21" s="64">
        <v>248286.34</v>
      </c>
      <c r="D21" s="174"/>
      <c r="E21" s="174"/>
      <c r="F21" s="173">
        <v>304402.48</v>
      </c>
      <c r="G21" s="173">
        <f t="shared" si="0"/>
        <v>122.6013803256353</v>
      </c>
      <c r="H21" s="177"/>
      <c r="I21" s="65"/>
      <c r="J21" s="65"/>
      <c r="K21" s="65"/>
      <c r="L21" s="65"/>
      <c r="M21" s="66"/>
      <c r="N21" s="66"/>
      <c r="O21" s="66"/>
    </row>
    <row r="22" spans="1:15" x14ac:dyDescent="0.2">
      <c r="A22" s="68" t="s">
        <v>379</v>
      </c>
      <c r="B22" s="67" t="s">
        <v>380</v>
      </c>
      <c r="C22" s="64">
        <v>190.47</v>
      </c>
      <c r="D22" s="174"/>
      <c r="E22" s="174"/>
      <c r="F22" s="173">
        <v>54.79</v>
      </c>
      <c r="G22" s="173">
        <f t="shared" si="0"/>
        <v>28.765684884758752</v>
      </c>
      <c r="H22" s="177"/>
      <c r="I22" s="65"/>
      <c r="J22" s="65"/>
      <c r="K22" s="65"/>
      <c r="L22" s="65"/>
      <c r="M22" s="66"/>
      <c r="N22" s="66"/>
      <c r="O22" s="66"/>
    </row>
    <row r="23" spans="1:15" x14ac:dyDescent="0.2">
      <c r="A23" s="180" t="s">
        <v>98</v>
      </c>
      <c r="B23" s="181" t="s">
        <v>99</v>
      </c>
      <c r="C23" s="177">
        <f>+C24+C29+C36+C46+C48</f>
        <v>376263.35</v>
      </c>
      <c r="D23" s="160">
        <v>882537</v>
      </c>
      <c r="E23" s="160">
        <v>882537</v>
      </c>
      <c r="F23" s="177">
        <f>+F24+F29+F36+F46+F48</f>
        <v>408679.85000000003</v>
      </c>
      <c r="G23" s="177">
        <f t="shared" si="0"/>
        <v>108.61537537472094</v>
      </c>
      <c r="H23" s="177">
        <f>+F23/D23*100</f>
        <v>46.307389945124115</v>
      </c>
      <c r="I23" s="168"/>
      <c r="J23" s="168"/>
      <c r="K23" s="168"/>
      <c r="L23" s="168"/>
      <c r="M23" s="168"/>
      <c r="N23" s="168"/>
      <c r="O23" s="168"/>
    </row>
    <row r="24" spans="1:15" x14ac:dyDescent="0.2">
      <c r="A24" s="178" t="s">
        <v>100</v>
      </c>
      <c r="B24" s="179" t="s">
        <v>101</v>
      </c>
      <c r="C24" s="177">
        <f>SUM(C25:C28)</f>
        <v>74666.990000000005</v>
      </c>
      <c r="D24" s="175"/>
      <c r="E24" s="175"/>
      <c r="F24" s="177">
        <f>SUM(F25:F28)</f>
        <v>87086.040000000008</v>
      </c>
      <c r="G24" s="177">
        <f t="shared" si="0"/>
        <v>116.63258422497009</v>
      </c>
      <c r="H24" s="177"/>
      <c r="I24" s="168"/>
      <c r="J24" s="168"/>
      <c r="K24" s="168"/>
      <c r="L24" s="168"/>
      <c r="M24" s="168"/>
      <c r="N24" s="168"/>
      <c r="O24" s="168"/>
    </row>
    <row r="25" spans="1:15" x14ac:dyDescent="0.2">
      <c r="A25" s="68" t="s">
        <v>102</v>
      </c>
      <c r="B25" s="67" t="s">
        <v>103</v>
      </c>
      <c r="C25" s="64">
        <v>36225.07</v>
      </c>
      <c r="D25" s="174"/>
      <c r="E25" s="174"/>
      <c r="F25" s="173">
        <v>20224.23</v>
      </c>
      <c r="G25" s="173">
        <f t="shared" si="0"/>
        <v>55.829374518807008</v>
      </c>
      <c r="H25" s="177"/>
      <c r="I25" s="65"/>
      <c r="J25" s="65"/>
      <c r="K25" s="65"/>
      <c r="L25" s="65"/>
      <c r="M25" s="66"/>
      <c r="N25" s="66"/>
      <c r="O25" s="66"/>
    </row>
    <row r="26" spans="1:15" x14ac:dyDescent="0.2">
      <c r="A26" s="68" t="s">
        <v>104</v>
      </c>
      <c r="B26" s="67" t="s">
        <v>105</v>
      </c>
      <c r="C26" s="64">
        <v>21792.84</v>
      </c>
      <c r="D26" s="174"/>
      <c r="E26" s="174"/>
      <c r="F26" s="173">
        <v>19261.63</v>
      </c>
      <c r="G26" s="173">
        <f t="shared" si="0"/>
        <v>88.385130162016523</v>
      </c>
      <c r="H26" s="177"/>
      <c r="I26" s="65"/>
      <c r="J26" s="65"/>
      <c r="K26" s="65"/>
      <c r="L26" s="65"/>
      <c r="M26" s="66"/>
      <c r="N26" s="66"/>
      <c r="O26" s="66"/>
    </row>
    <row r="27" spans="1:15" x14ac:dyDescent="0.2">
      <c r="A27" s="68" t="s">
        <v>106</v>
      </c>
      <c r="B27" s="67" t="s">
        <v>107</v>
      </c>
      <c r="C27" s="64">
        <v>16649.080000000002</v>
      </c>
      <c r="D27" s="174"/>
      <c r="E27" s="174"/>
      <c r="F27" s="173">
        <v>47562.18</v>
      </c>
      <c r="G27" s="173">
        <f t="shared" si="0"/>
        <v>285.67452375746882</v>
      </c>
      <c r="H27" s="177"/>
      <c r="I27" s="66"/>
      <c r="J27" s="66"/>
      <c r="K27" s="66"/>
      <c r="L27" s="66"/>
      <c r="M27" s="66"/>
      <c r="N27" s="66"/>
      <c r="O27" s="66"/>
    </row>
    <row r="28" spans="1:15" x14ac:dyDescent="0.2">
      <c r="A28" s="68" t="s">
        <v>108</v>
      </c>
      <c r="B28" s="67" t="s">
        <v>109</v>
      </c>
      <c r="C28" s="64">
        <v>0</v>
      </c>
      <c r="D28" s="174"/>
      <c r="E28" s="174"/>
      <c r="F28" s="173">
        <v>38</v>
      </c>
      <c r="G28" s="173" t="e">
        <f t="shared" si="0"/>
        <v>#DIV/0!</v>
      </c>
      <c r="H28" s="177"/>
      <c r="I28" s="66"/>
      <c r="J28" s="66"/>
      <c r="K28" s="66"/>
      <c r="L28" s="66"/>
      <c r="M28" s="66"/>
      <c r="N28" s="66"/>
      <c r="O28" s="66"/>
    </row>
    <row r="29" spans="1:15" x14ac:dyDescent="0.2">
      <c r="A29" s="178" t="s">
        <v>110</v>
      </c>
      <c r="B29" s="179" t="s">
        <v>111</v>
      </c>
      <c r="C29" s="177">
        <f>SUM(C30:C35)</f>
        <v>72760.490000000005</v>
      </c>
      <c r="D29" s="175"/>
      <c r="E29" s="175"/>
      <c r="F29" s="177">
        <f>SUM(F30:F35)</f>
        <v>82529.55</v>
      </c>
      <c r="G29" s="177">
        <f t="shared" si="0"/>
        <v>113.42632519379679</v>
      </c>
      <c r="H29" s="177"/>
      <c r="I29" s="168"/>
      <c r="J29" s="168"/>
      <c r="K29" s="168"/>
      <c r="L29" s="168"/>
      <c r="M29" s="168"/>
      <c r="N29" s="168"/>
      <c r="O29" s="168"/>
    </row>
    <row r="30" spans="1:15" x14ac:dyDescent="0.2">
      <c r="A30" s="68" t="s">
        <v>112</v>
      </c>
      <c r="B30" s="67" t="s">
        <v>113</v>
      </c>
      <c r="C30" s="64">
        <v>16592.64</v>
      </c>
      <c r="D30" s="174"/>
      <c r="E30" s="174"/>
      <c r="F30" s="173">
        <v>20225.23</v>
      </c>
      <c r="G30" s="173">
        <f t="shared" si="0"/>
        <v>121.8927789670601</v>
      </c>
      <c r="H30" s="177"/>
      <c r="I30" s="66"/>
      <c r="J30" s="66"/>
      <c r="K30" s="66"/>
      <c r="L30" s="66"/>
      <c r="M30" s="66"/>
      <c r="N30" s="66"/>
      <c r="O30" s="66"/>
    </row>
    <row r="31" spans="1:15" x14ac:dyDescent="0.2">
      <c r="A31" s="68" t="s">
        <v>381</v>
      </c>
      <c r="B31" s="67" t="s">
        <v>382</v>
      </c>
      <c r="C31" s="64">
        <v>0</v>
      </c>
      <c r="D31" s="174"/>
      <c r="E31" s="174"/>
      <c r="F31" s="173">
        <v>0</v>
      </c>
      <c r="G31" s="173" t="e">
        <f t="shared" si="0"/>
        <v>#DIV/0!</v>
      </c>
      <c r="H31" s="177"/>
      <c r="I31" s="66"/>
      <c r="J31" s="66"/>
      <c r="K31" s="66"/>
      <c r="L31" s="66"/>
      <c r="M31" s="66"/>
      <c r="N31" s="66"/>
      <c r="O31" s="66"/>
    </row>
    <row r="32" spans="1:15" x14ac:dyDescent="0.2">
      <c r="A32" s="68" t="s">
        <v>114</v>
      </c>
      <c r="B32" s="67" t="s">
        <v>115</v>
      </c>
      <c r="C32" s="64">
        <v>47207.13</v>
      </c>
      <c r="D32" s="174"/>
      <c r="E32" s="174"/>
      <c r="F32" s="173">
        <v>51567.69</v>
      </c>
      <c r="G32" s="173">
        <f t="shared" si="0"/>
        <v>109.23707922934524</v>
      </c>
      <c r="H32" s="177"/>
      <c r="I32" s="66"/>
      <c r="J32" s="66"/>
      <c r="K32" s="66"/>
      <c r="L32" s="66"/>
      <c r="M32" s="66"/>
      <c r="N32" s="66"/>
      <c r="O32" s="66"/>
    </row>
    <row r="33" spans="1:15" x14ac:dyDescent="0.2">
      <c r="A33" s="68" t="s">
        <v>116</v>
      </c>
      <c r="B33" s="67" t="s">
        <v>117</v>
      </c>
      <c r="C33" s="64">
        <v>5618.73</v>
      </c>
      <c r="D33" s="174"/>
      <c r="E33" s="174"/>
      <c r="F33" s="173">
        <v>8857.4599999999991</v>
      </c>
      <c r="G33" s="173">
        <f t="shared" si="0"/>
        <v>157.64167347425487</v>
      </c>
      <c r="H33" s="177"/>
      <c r="I33" s="66"/>
      <c r="J33" s="66"/>
      <c r="K33" s="66"/>
      <c r="L33" s="66"/>
      <c r="M33" s="66"/>
      <c r="N33" s="66"/>
      <c r="O33" s="66"/>
    </row>
    <row r="34" spans="1:15" x14ac:dyDescent="0.2">
      <c r="A34" s="68" t="s">
        <v>118</v>
      </c>
      <c r="B34" s="67" t="s">
        <v>119</v>
      </c>
      <c r="C34" s="64">
        <v>788.83</v>
      </c>
      <c r="D34" s="174"/>
      <c r="E34" s="174"/>
      <c r="F34" s="173">
        <v>756.49</v>
      </c>
      <c r="G34" s="173">
        <f t="shared" si="0"/>
        <v>95.900257343153783</v>
      </c>
      <c r="H34" s="177"/>
      <c r="I34" s="66"/>
      <c r="J34" s="66"/>
      <c r="K34" s="66"/>
      <c r="L34" s="66"/>
      <c r="M34" s="66"/>
      <c r="N34" s="66"/>
      <c r="O34" s="66"/>
    </row>
    <row r="35" spans="1:15" x14ac:dyDescent="0.2">
      <c r="A35" s="68" t="s">
        <v>120</v>
      </c>
      <c r="B35" s="67" t="s">
        <v>121</v>
      </c>
      <c r="C35" s="64">
        <v>2553.16</v>
      </c>
      <c r="D35" s="174"/>
      <c r="E35" s="174"/>
      <c r="F35" s="173">
        <v>1122.68</v>
      </c>
      <c r="G35" s="173">
        <f t="shared" si="0"/>
        <v>43.972175656833109</v>
      </c>
      <c r="H35" s="177"/>
      <c r="I35" s="66"/>
      <c r="J35" s="66"/>
      <c r="K35" s="66"/>
      <c r="L35" s="66"/>
      <c r="M35" s="66"/>
      <c r="N35" s="66"/>
      <c r="O35" s="66"/>
    </row>
    <row r="36" spans="1:15" x14ac:dyDescent="0.2">
      <c r="A36" s="178" t="s">
        <v>122</v>
      </c>
      <c r="B36" s="179" t="s">
        <v>123</v>
      </c>
      <c r="C36" s="177">
        <f>SUM(C37:C45)</f>
        <v>155759.59</v>
      </c>
      <c r="D36" s="175"/>
      <c r="E36" s="175"/>
      <c r="F36" s="177">
        <f>SUM(F37:F45)</f>
        <v>211618.22</v>
      </c>
      <c r="G36" s="177">
        <f t="shared" si="0"/>
        <v>135.86208078744943</v>
      </c>
      <c r="H36" s="177"/>
      <c r="I36" s="168"/>
      <c r="J36" s="168"/>
      <c r="K36" s="168"/>
      <c r="L36" s="168"/>
      <c r="M36" s="168"/>
      <c r="N36" s="168"/>
      <c r="O36" s="168"/>
    </row>
    <row r="37" spans="1:15" x14ac:dyDescent="0.2">
      <c r="A37" s="68" t="s">
        <v>124</v>
      </c>
      <c r="B37" s="67" t="s">
        <v>125</v>
      </c>
      <c r="C37" s="64">
        <v>11586.21</v>
      </c>
      <c r="D37" s="174"/>
      <c r="E37" s="174"/>
      <c r="F37" s="173">
        <v>12894.74</v>
      </c>
      <c r="G37" s="173">
        <f t="shared" si="0"/>
        <v>111.29385709390733</v>
      </c>
      <c r="H37" s="177"/>
      <c r="I37" s="66"/>
      <c r="J37" s="66"/>
      <c r="K37" s="66"/>
      <c r="L37" s="66"/>
      <c r="M37" s="66"/>
      <c r="N37" s="66"/>
      <c r="O37" s="66"/>
    </row>
    <row r="38" spans="1:15" x14ac:dyDescent="0.2">
      <c r="A38" s="68" t="s">
        <v>126</v>
      </c>
      <c r="B38" s="67" t="s">
        <v>127</v>
      </c>
      <c r="C38" s="64">
        <v>14320.78</v>
      </c>
      <c r="D38" s="174"/>
      <c r="E38" s="174"/>
      <c r="F38" s="173">
        <v>15034.79</v>
      </c>
      <c r="G38" s="173">
        <f t="shared" si="0"/>
        <v>104.98583177731939</v>
      </c>
      <c r="H38" s="177"/>
      <c r="I38" s="66"/>
      <c r="J38" s="66"/>
      <c r="K38" s="66"/>
      <c r="L38" s="66"/>
      <c r="M38" s="66"/>
      <c r="N38" s="66"/>
      <c r="O38" s="66"/>
    </row>
    <row r="39" spans="1:15" x14ac:dyDescent="0.2">
      <c r="A39" s="68" t="s">
        <v>128</v>
      </c>
      <c r="B39" s="67" t="s">
        <v>129</v>
      </c>
      <c r="C39" s="64">
        <v>7211.31</v>
      </c>
      <c r="D39" s="174"/>
      <c r="E39" s="174"/>
      <c r="F39" s="173">
        <v>9702.34</v>
      </c>
      <c r="G39" s="173">
        <f t="shared" si="0"/>
        <v>134.54337700085003</v>
      </c>
      <c r="H39" s="177"/>
      <c r="I39" s="66"/>
      <c r="J39" s="66"/>
      <c r="K39" s="66"/>
      <c r="L39" s="66"/>
      <c r="M39" s="66"/>
      <c r="N39" s="66"/>
      <c r="O39" s="66"/>
    </row>
    <row r="40" spans="1:15" x14ac:dyDescent="0.2">
      <c r="A40" s="68" t="s">
        <v>130</v>
      </c>
      <c r="B40" s="67" t="s">
        <v>131</v>
      </c>
      <c r="C40" s="64">
        <v>12224.02</v>
      </c>
      <c r="D40" s="174"/>
      <c r="E40" s="174"/>
      <c r="F40" s="173">
        <v>13270.4</v>
      </c>
      <c r="G40" s="173">
        <f t="shared" si="0"/>
        <v>108.56003180623068</v>
      </c>
      <c r="H40" s="177"/>
      <c r="I40" s="66"/>
      <c r="J40" s="66"/>
      <c r="K40" s="66"/>
      <c r="L40" s="66"/>
      <c r="M40" s="66"/>
      <c r="N40" s="66"/>
      <c r="O40" s="66"/>
    </row>
    <row r="41" spans="1:15" x14ac:dyDescent="0.2">
      <c r="A41" s="68" t="s">
        <v>132</v>
      </c>
      <c r="B41" s="67" t="s">
        <v>133</v>
      </c>
      <c r="C41" s="64">
        <v>13866.9</v>
      </c>
      <c r="D41" s="174"/>
      <c r="E41" s="174"/>
      <c r="F41" s="173">
        <v>17540.72</v>
      </c>
      <c r="G41" s="173">
        <f t="shared" si="0"/>
        <v>126.4934484275505</v>
      </c>
      <c r="H41" s="177"/>
      <c r="I41" s="66"/>
      <c r="J41" s="66"/>
      <c r="K41" s="66"/>
      <c r="L41" s="66"/>
      <c r="M41" s="66"/>
      <c r="N41" s="66"/>
      <c r="O41" s="66"/>
    </row>
    <row r="42" spans="1:15" x14ac:dyDescent="0.2">
      <c r="A42" s="68" t="s">
        <v>134</v>
      </c>
      <c r="B42" s="67" t="s">
        <v>135</v>
      </c>
      <c r="C42" s="64">
        <v>41.14</v>
      </c>
      <c r="D42" s="174"/>
      <c r="E42" s="174"/>
      <c r="F42" s="173">
        <v>44.04</v>
      </c>
      <c r="G42" s="173">
        <f t="shared" si="0"/>
        <v>107.04910063198834</v>
      </c>
      <c r="H42" s="177"/>
      <c r="I42" s="66"/>
      <c r="J42" s="66"/>
      <c r="K42" s="66"/>
      <c r="L42" s="66"/>
      <c r="M42" s="66"/>
      <c r="N42" s="66"/>
      <c r="O42" s="66"/>
    </row>
    <row r="43" spans="1:15" x14ac:dyDescent="0.2">
      <c r="A43" s="68" t="s">
        <v>136</v>
      </c>
      <c r="B43" s="67" t="s">
        <v>137</v>
      </c>
      <c r="C43" s="64">
        <v>57285.96</v>
      </c>
      <c r="D43" s="174"/>
      <c r="E43" s="174"/>
      <c r="F43" s="173">
        <v>91603.520000000004</v>
      </c>
      <c r="G43" s="173">
        <f t="shared" si="0"/>
        <v>159.90570813511724</v>
      </c>
      <c r="H43" s="177"/>
      <c r="I43" s="66"/>
      <c r="J43" s="66"/>
      <c r="K43" s="66"/>
      <c r="L43" s="66"/>
      <c r="M43" s="66"/>
      <c r="N43" s="66"/>
      <c r="O43" s="66"/>
    </row>
    <row r="44" spans="1:15" x14ac:dyDescent="0.2">
      <c r="A44" s="68" t="s">
        <v>138</v>
      </c>
      <c r="B44" s="67" t="s">
        <v>139</v>
      </c>
      <c r="C44" s="64">
        <v>12118.77</v>
      </c>
      <c r="D44" s="174"/>
      <c r="E44" s="174"/>
      <c r="F44" s="173">
        <v>9719.92</v>
      </c>
      <c r="G44" s="173">
        <f t="shared" si="0"/>
        <v>80.205499402992217</v>
      </c>
      <c r="H44" s="177"/>
      <c r="I44" s="66"/>
      <c r="J44" s="66"/>
      <c r="K44" s="66"/>
      <c r="L44" s="66"/>
      <c r="M44" s="66"/>
      <c r="N44" s="66"/>
      <c r="O44" s="66"/>
    </row>
    <row r="45" spans="1:15" x14ac:dyDescent="0.2">
      <c r="A45" s="68" t="s">
        <v>140</v>
      </c>
      <c r="B45" s="67" t="s">
        <v>141</v>
      </c>
      <c r="C45" s="64">
        <v>27104.5</v>
      </c>
      <c r="D45" s="174"/>
      <c r="E45" s="174"/>
      <c r="F45" s="173">
        <v>41807.75</v>
      </c>
      <c r="G45" s="173">
        <f t="shared" si="0"/>
        <v>154.24652732941024</v>
      </c>
      <c r="H45" s="177"/>
      <c r="I45" s="66"/>
      <c r="J45" s="66"/>
      <c r="K45" s="66"/>
      <c r="L45" s="66"/>
      <c r="M45" s="66"/>
      <c r="N45" s="66"/>
      <c r="O45" s="66"/>
    </row>
    <row r="46" spans="1:15" x14ac:dyDescent="0.2">
      <c r="A46" s="178" t="s">
        <v>142</v>
      </c>
      <c r="B46" s="179" t="s">
        <v>143</v>
      </c>
      <c r="C46" s="177">
        <f>+C47</f>
        <v>6252.47</v>
      </c>
      <c r="D46" s="175"/>
      <c r="E46" s="175"/>
      <c r="F46" s="177">
        <f>+F47</f>
        <v>12279.35</v>
      </c>
      <c r="G46" s="177">
        <f t="shared" si="0"/>
        <v>196.39198588717738</v>
      </c>
      <c r="H46" s="177"/>
      <c r="I46" s="168"/>
      <c r="J46" s="168"/>
      <c r="K46" s="168"/>
      <c r="L46" s="168"/>
      <c r="M46" s="168"/>
      <c r="N46" s="168"/>
      <c r="O46" s="168"/>
    </row>
    <row r="47" spans="1:15" x14ac:dyDescent="0.2">
      <c r="A47" s="68" t="s">
        <v>144</v>
      </c>
      <c r="B47" s="67" t="s">
        <v>143</v>
      </c>
      <c r="C47" s="64">
        <v>6252.47</v>
      </c>
      <c r="D47" s="174"/>
      <c r="E47" s="174"/>
      <c r="F47" s="173">
        <v>12279.35</v>
      </c>
      <c r="G47" s="173">
        <f t="shared" si="0"/>
        <v>196.39198588717738</v>
      </c>
      <c r="H47" s="177"/>
      <c r="I47" s="66"/>
      <c r="J47" s="66"/>
      <c r="K47" s="66"/>
      <c r="L47" s="66"/>
      <c r="M47" s="66"/>
      <c r="N47" s="66"/>
      <c r="O47" s="66"/>
    </row>
    <row r="48" spans="1:15" x14ac:dyDescent="0.2">
      <c r="A48" s="178" t="s">
        <v>145</v>
      </c>
      <c r="B48" s="179" t="s">
        <v>146</v>
      </c>
      <c r="C48" s="177">
        <f>SUM(C49:C55)</f>
        <v>66823.81</v>
      </c>
      <c r="D48" s="175"/>
      <c r="E48" s="175"/>
      <c r="F48" s="177">
        <f>SUM(F49:F55)</f>
        <v>15166.69</v>
      </c>
      <c r="G48" s="177">
        <f t="shared" si="0"/>
        <v>22.696535860496432</v>
      </c>
      <c r="H48" s="177"/>
      <c r="I48" s="168"/>
      <c r="J48" s="168"/>
      <c r="K48" s="168"/>
      <c r="L48" s="168"/>
      <c r="M48" s="168"/>
      <c r="N48" s="168"/>
      <c r="O48" s="168"/>
    </row>
    <row r="49" spans="1:15" ht="25.5" x14ac:dyDescent="0.2">
      <c r="A49" s="68" t="s">
        <v>147</v>
      </c>
      <c r="B49" s="67" t="s">
        <v>148</v>
      </c>
      <c r="C49" s="64">
        <v>0</v>
      </c>
      <c r="D49" s="174"/>
      <c r="E49" s="174"/>
      <c r="F49" s="173">
        <v>0</v>
      </c>
      <c r="G49" s="173" t="e">
        <f t="shared" si="0"/>
        <v>#DIV/0!</v>
      </c>
      <c r="H49" s="177"/>
      <c r="I49" s="66"/>
      <c r="J49" s="66"/>
      <c r="K49" s="66"/>
      <c r="L49" s="66"/>
      <c r="M49" s="66"/>
      <c r="N49" s="66"/>
      <c r="O49" s="66"/>
    </row>
    <row r="50" spans="1:15" x14ac:dyDescent="0.2">
      <c r="A50" s="68" t="s">
        <v>149</v>
      </c>
      <c r="B50" s="67" t="s">
        <v>150</v>
      </c>
      <c r="C50" s="64">
        <v>2493.62</v>
      </c>
      <c r="D50" s="174"/>
      <c r="E50" s="174"/>
      <c r="F50" s="173">
        <v>2419.46</v>
      </c>
      <c r="G50" s="173">
        <f t="shared" si="0"/>
        <v>97.026010378485907</v>
      </c>
      <c r="H50" s="177"/>
      <c r="I50" s="66"/>
      <c r="J50" s="66"/>
      <c r="K50" s="66"/>
      <c r="L50" s="66"/>
      <c r="M50" s="66"/>
      <c r="N50" s="66"/>
      <c r="O50" s="66"/>
    </row>
    <row r="51" spans="1:15" x14ac:dyDescent="0.2">
      <c r="A51" s="68" t="s">
        <v>151</v>
      </c>
      <c r="B51" s="67" t="s">
        <v>152</v>
      </c>
      <c r="C51" s="64">
        <v>18931.96</v>
      </c>
      <c r="D51" s="174"/>
      <c r="E51" s="174"/>
      <c r="F51" s="173">
        <v>3345.89</v>
      </c>
      <c r="G51" s="173">
        <f t="shared" si="0"/>
        <v>17.673236157270562</v>
      </c>
      <c r="H51" s="177"/>
      <c r="I51" s="66"/>
      <c r="J51" s="66"/>
      <c r="K51" s="66"/>
      <c r="L51" s="66"/>
      <c r="M51" s="66"/>
      <c r="N51" s="66"/>
      <c r="O51" s="66"/>
    </row>
    <row r="52" spans="1:15" x14ac:dyDescent="0.2">
      <c r="A52" s="68" t="s">
        <v>153</v>
      </c>
      <c r="B52" s="67" t="s">
        <v>154</v>
      </c>
      <c r="C52" s="64">
        <v>2225.63</v>
      </c>
      <c r="D52" s="174"/>
      <c r="E52" s="174"/>
      <c r="F52" s="173">
        <v>2079.13</v>
      </c>
      <c r="G52" s="173">
        <f t="shared" si="0"/>
        <v>93.417594119417871</v>
      </c>
      <c r="H52" s="177"/>
      <c r="I52" s="66"/>
      <c r="J52" s="66"/>
      <c r="K52" s="66"/>
      <c r="L52" s="66"/>
      <c r="M52" s="66"/>
      <c r="N52" s="66"/>
      <c r="O52" s="66"/>
    </row>
    <row r="53" spans="1:15" x14ac:dyDescent="0.2">
      <c r="A53" s="68" t="s">
        <v>155</v>
      </c>
      <c r="B53" s="67" t="s">
        <v>156</v>
      </c>
      <c r="C53" s="64">
        <v>4906.34</v>
      </c>
      <c r="D53" s="174"/>
      <c r="E53" s="174"/>
      <c r="F53" s="173">
        <v>3881.97</v>
      </c>
      <c r="G53" s="173">
        <f t="shared" si="0"/>
        <v>79.121504013174786</v>
      </c>
      <c r="H53" s="177"/>
      <c r="I53" s="66"/>
      <c r="J53" s="66"/>
      <c r="K53" s="66"/>
      <c r="L53" s="66"/>
      <c r="M53" s="66"/>
      <c r="N53" s="66"/>
      <c r="O53" s="66"/>
    </row>
    <row r="54" spans="1:15" x14ac:dyDescent="0.2">
      <c r="A54" s="68" t="s">
        <v>157</v>
      </c>
      <c r="B54" s="67" t="s">
        <v>158</v>
      </c>
      <c r="C54" s="64">
        <v>4583.05</v>
      </c>
      <c r="D54" s="174"/>
      <c r="E54" s="174"/>
      <c r="F54" s="173">
        <v>1990.1</v>
      </c>
      <c r="G54" s="173">
        <f t="shared" si="0"/>
        <v>43.423047970238152</v>
      </c>
      <c r="H54" s="177"/>
      <c r="I54" s="66"/>
      <c r="J54" s="66"/>
      <c r="K54" s="66"/>
      <c r="L54" s="66"/>
      <c r="M54" s="66"/>
      <c r="N54" s="66"/>
      <c r="O54" s="66"/>
    </row>
    <row r="55" spans="1:15" x14ac:dyDescent="0.2">
      <c r="A55" s="68" t="s">
        <v>159</v>
      </c>
      <c r="B55" s="67" t="s">
        <v>146</v>
      </c>
      <c r="C55" s="64">
        <v>33683.21</v>
      </c>
      <c r="D55" s="174"/>
      <c r="E55" s="174"/>
      <c r="F55" s="173">
        <v>1450.14</v>
      </c>
      <c r="G55" s="173">
        <f t="shared" si="0"/>
        <v>4.3052310038146606</v>
      </c>
      <c r="H55" s="177"/>
      <c r="I55" s="66"/>
      <c r="J55" s="66"/>
      <c r="K55" s="66"/>
      <c r="L55" s="66"/>
      <c r="M55" s="66"/>
      <c r="N55" s="66"/>
      <c r="O55" s="66"/>
    </row>
    <row r="56" spans="1:15" x14ac:dyDescent="0.2">
      <c r="A56" s="180" t="s">
        <v>160</v>
      </c>
      <c r="B56" s="181" t="s">
        <v>161</v>
      </c>
      <c r="C56" s="177">
        <f>+C57+C60</f>
        <v>5908.9</v>
      </c>
      <c r="D56" s="160">
        <v>3732</v>
      </c>
      <c r="E56" s="160">
        <v>3732</v>
      </c>
      <c r="F56" s="177">
        <f>+F57+F60</f>
        <v>2803.9100000000003</v>
      </c>
      <c r="G56" s="177">
        <f t="shared" si="0"/>
        <v>47.452317690263847</v>
      </c>
      <c r="H56" s="177">
        <f>+F56/D56*100</f>
        <v>75.131564844587359</v>
      </c>
      <c r="I56" s="168"/>
      <c r="J56" s="168"/>
      <c r="K56" s="168"/>
      <c r="L56" s="168"/>
      <c r="M56" s="168"/>
      <c r="N56" s="168"/>
      <c r="O56" s="168"/>
    </row>
    <row r="57" spans="1:15" x14ac:dyDescent="0.2">
      <c r="A57" s="178" t="s">
        <v>383</v>
      </c>
      <c r="B57" s="179" t="s">
        <v>384</v>
      </c>
      <c r="C57" s="177">
        <f>+C58+C59</f>
        <v>0</v>
      </c>
      <c r="D57" s="175"/>
      <c r="E57" s="175"/>
      <c r="F57" s="177">
        <f>+F58+F59</f>
        <v>0</v>
      </c>
      <c r="G57" s="177" t="e">
        <f t="shared" si="0"/>
        <v>#DIV/0!</v>
      </c>
      <c r="H57" s="177"/>
      <c r="I57" s="168"/>
      <c r="J57" s="168"/>
      <c r="K57" s="168"/>
      <c r="L57" s="168"/>
      <c r="M57" s="168"/>
      <c r="N57" s="168"/>
      <c r="O57" s="168"/>
    </row>
    <row r="58" spans="1:15" ht="25.5" x14ac:dyDescent="0.2">
      <c r="A58" s="68" t="s">
        <v>385</v>
      </c>
      <c r="B58" s="67" t="s">
        <v>386</v>
      </c>
      <c r="C58" s="64">
        <v>0</v>
      </c>
      <c r="D58" s="174"/>
      <c r="E58" s="174"/>
      <c r="F58" s="173">
        <v>0</v>
      </c>
      <c r="G58" s="173" t="e">
        <f t="shared" si="0"/>
        <v>#DIV/0!</v>
      </c>
      <c r="H58" s="177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8" t="s">
        <v>387</v>
      </c>
      <c r="B59" s="67" t="s">
        <v>388</v>
      </c>
      <c r="C59" s="64">
        <v>0</v>
      </c>
      <c r="D59" s="174"/>
      <c r="E59" s="174"/>
      <c r="F59" s="173">
        <v>0</v>
      </c>
      <c r="G59" s="173" t="e">
        <f t="shared" si="0"/>
        <v>#DIV/0!</v>
      </c>
      <c r="H59" s="177"/>
      <c r="I59" s="66"/>
      <c r="J59" s="66"/>
      <c r="K59" s="66"/>
      <c r="L59" s="66"/>
      <c r="M59" s="66"/>
      <c r="N59" s="66"/>
      <c r="O59" s="66"/>
    </row>
    <row r="60" spans="1:15" x14ac:dyDescent="0.2">
      <c r="A60" s="178" t="s">
        <v>162</v>
      </c>
      <c r="B60" s="179" t="s">
        <v>163</v>
      </c>
      <c r="C60" s="177">
        <f>SUM(C61:C64)</f>
        <v>5908.9</v>
      </c>
      <c r="D60" s="175"/>
      <c r="E60" s="175"/>
      <c r="F60" s="177">
        <f>SUM(F61:F64)</f>
        <v>2803.9100000000003</v>
      </c>
      <c r="G60" s="177">
        <f t="shared" si="0"/>
        <v>47.452317690263847</v>
      </c>
      <c r="H60" s="177"/>
      <c r="I60" s="168"/>
      <c r="J60" s="168"/>
      <c r="K60" s="168"/>
      <c r="L60" s="168"/>
      <c r="M60" s="168"/>
      <c r="N60" s="168"/>
      <c r="O60" s="168"/>
    </row>
    <row r="61" spans="1:15" x14ac:dyDescent="0.2">
      <c r="A61" s="68" t="s">
        <v>164</v>
      </c>
      <c r="B61" s="67" t="s">
        <v>165</v>
      </c>
      <c r="C61" s="64">
        <v>1448.76</v>
      </c>
      <c r="D61" s="174"/>
      <c r="E61" s="174"/>
      <c r="F61" s="173">
        <v>1277.6600000000001</v>
      </c>
      <c r="G61" s="173">
        <f t="shared" si="0"/>
        <v>88.189900328556831</v>
      </c>
      <c r="H61" s="177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8" t="s">
        <v>389</v>
      </c>
      <c r="B62" s="67" t="s">
        <v>390</v>
      </c>
      <c r="C62" s="64">
        <v>33.840000000000003</v>
      </c>
      <c r="D62" s="174"/>
      <c r="E62" s="174"/>
      <c r="F62" s="173">
        <v>190.62</v>
      </c>
      <c r="G62" s="173">
        <f t="shared" si="0"/>
        <v>563.29787234042556</v>
      </c>
      <c r="H62" s="177"/>
      <c r="I62" s="66"/>
      <c r="J62" s="66"/>
      <c r="K62" s="66"/>
      <c r="L62" s="66"/>
      <c r="M62" s="66"/>
      <c r="N62" s="66"/>
      <c r="O62" s="66"/>
    </row>
    <row r="63" spans="1:15" x14ac:dyDescent="0.2">
      <c r="A63" s="68" t="s">
        <v>391</v>
      </c>
      <c r="B63" s="67" t="s">
        <v>392</v>
      </c>
      <c r="C63" s="64">
        <v>4426.3</v>
      </c>
      <c r="D63" s="174"/>
      <c r="E63" s="174"/>
      <c r="F63" s="173">
        <v>1335.63</v>
      </c>
      <c r="G63" s="173">
        <f t="shared" si="0"/>
        <v>30.174863881797435</v>
      </c>
      <c r="H63" s="177"/>
      <c r="I63" s="66"/>
      <c r="J63" s="66"/>
      <c r="K63" s="66"/>
      <c r="L63" s="66"/>
      <c r="M63" s="66"/>
      <c r="N63" s="66"/>
      <c r="O63" s="66"/>
    </row>
    <row r="64" spans="1:15" x14ac:dyDescent="0.2">
      <c r="A64" s="68" t="s">
        <v>393</v>
      </c>
      <c r="B64" s="67" t="s">
        <v>394</v>
      </c>
      <c r="C64" s="64">
        <v>0</v>
      </c>
      <c r="D64" s="174"/>
      <c r="E64" s="174"/>
      <c r="F64" s="173">
        <v>0</v>
      </c>
      <c r="G64" s="173" t="e">
        <f t="shared" si="0"/>
        <v>#DIV/0!</v>
      </c>
      <c r="H64" s="177"/>
      <c r="I64" s="66"/>
      <c r="J64" s="66"/>
      <c r="K64" s="66"/>
      <c r="L64" s="66"/>
      <c r="M64" s="66"/>
      <c r="N64" s="66"/>
      <c r="O64" s="66"/>
    </row>
    <row r="65" spans="1:15" x14ac:dyDescent="0.2">
      <c r="A65" s="180" t="s">
        <v>166</v>
      </c>
      <c r="B65" s="181" t="s">
        <v>167</v>
      </c>
      <c r="C65" s="177">
        <f>+C66+C68+C71</f>
        <v>0</v>
      </c>
      <c r="D65" s="160">
        <v>0</v>
      </c>
      <c r="E65" s="160">
        <v>0</v>
      </c>
      <c r="F65" s="177">
        <f>+F66+F68+F71</f>
        <v>0</v>
      </c>
      <c r="G65" s="177" t="e">
        <f t="shared" si="0"/>
        <v>#DIV/0!</v>
      </c>
      <c r="H65" s="177" t="e">
        <f>+F65/D65*100</f>
        <v>#DIV/0!</v>
      </c>
      <c r="I65" s="168"/>
      <c r="J65" s="168"/>
      <c r="K65" s="168"/>
      <c r="L65" s="168"/>
      <c r="M65" s="168"/>
      <c r="N65" s="168"/>
      <c r="O65" s="168"/>
    </row>
    <row r="66" spans="1:15" x14ac:dyDescent="0.2">
      <c r="A66" s="178" t="s">
        <v>395</v>
      </c>
      <c r="B66" s="179" t="s">
        <v>396</v>
      </c>
      <c r="C66" s="177">
        <f>+C67</f>
        <v>0</v>
      </c>
      <c r="D66" s="175"/>
      <c r="E66" s="175"/>
      <c r="F66" s="177">
        <f>+F67</f>
        <v>0</v>
      </c>
      <c r="G66" s="177" t="e">
        <f t="shared" si="0"/>
        <v>#DIV/0!</v>
      </c>
      <c r="H66" s="177"/>
      <c r="I66" s="168"/>
      <c r="J66" s="168"/>
      <c r="K66" s="168"/>
      <c r="L66" s="168"/>
      <c r="M66" s="168"/>
      <c r="N66" s="168"/>
      <c r="O66" s="168"/>
    </row>
    <row r="67" spans="1:15" ht="25.5" x14ac:dyDescent="0.2">
      <c r="A67" s="68" t="s">
        <v>397</v>
      </c>
      <c r="B67" s="67" t="s">
        <v>398</v>
      </c>
      <c r="C67" s="64">
        <v>0</v>
      </c>
      <c r="D67" s="174"/>
      <c r="E67" s="174"/>
      <c r="F67" s="173">
        <v>0</v>
      </c>
      <c r="G67" s="172" t="e">
        <f t="shared" si="0"/>
        <v>#DIV/0!</v>
      </c>
      <c r="H67" s="177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8" t="s">
        <v>168</v>
      </c>
      <c r="B68" s="179" t="s">
        <v>169</v>
      </c>
      <c r="C68" s="177">
        <f>+C69+C70</f>
        <v>0</v>
      </c>
      <c r="D68" s="175"/>
      <c r="E68" s="175"/>
      <c r="F68" s="177">
        <f>+F69+F70</f>
        <v>0</v>
      </c>
      <c r="G68" s="177" t="e">
        <f t="shared" si="0"/>
        <v>#DIV/0!</v>
      </c>
      <c r="H68" s="177"/>
      <c r="I68" s="168"/>
      <c r="J68" s="168"/>
      <c r="K68" s="168"/>
      <c r="L68" s="168"/>
      <c r="M68" s="168"/>
      <c r="N68" s="168"/>
      <c r="O68" s="168"/>
    </row>
    <row r="69" spans="1:15" ht="25.5" x14ac:dyDescent="0.2">
      <c r="A69" s="68" t="s">
        <v>399</v>
      </c>
      <c r="B69" s="67" t="s">
        <v>400</v>
      </c>
      <c r="C69" s="64">
        <v>0</v>
      </c>
      <c r="D69" s="174"/>
      <c r="E69" s="174"/>
      <c r="F69" s="173">
        <v>0</v>
      </c>
      <c r="G69" s="172" t="e">
        <f t="shared" si="0"/>
        <v>#DIV/0!</v>
      </c>
      <c r="H69" s="177"/>
      <c r="I69" s="66"/>
      <c r="J69" s="66"/>
      <c r="K69" s="66"/>
      <c r="L69" s="66"/>
      <c r="M69" s="66"/>
      <c r="N69" s="66"/>
      <c r="O69" s="66"/>
    </row>
    <row r="70" spans="1:15" x14ac:dyDescent="0.2">
      <c r="A70" s="68" t="s">
        <v>170</v>
      </c>
      <c r="B70" s="67" t="s">
        <v>171</v>
      </c>
      <c r="C70" s="64">
        <v>0</v>
      </c>
      <c r="D70" s="174"/>
      <c r="E70" s="174"/>
      <c r="F70" s="173">
        <v>0</v>
      </c>
      <c r="G70" s="173" t="e">
        <f t="shared" si="0"/>
        <v>#DIV/0!</v>
      </c>
      <c r="H70" s="177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8" t="s">
        <v>172</v>
      </c>
      <c r="B71" s="179" t="s">
        <v>173</v>
      </c>
      <c r="C71" s="177">
        <f>+C72</f>
        <v>0</v>
      </c>
      <c r="D71" s="175"/>
      <c r="E71" s="175"/>
      <c r="F71" s="177">
        <f>+F72</f>
        <v>0</v>
      </c>
      <c r="G71" s="177" t="e">
        <f t="shared" si="0"/>
        <v>#DIV/0!</v>
      </c>
      <c r="H71" s="177"/>
      <c r="I71" s="168"/>
      <c r="J71" s="168"/>
      <c r="K71" s="168"/>
      <c r="L71" s="168"/>
      <c r="M71" s="168"/>
      <c r="N71" s="168"/>
      <c r="O71" s="168"/>
    </row>
    <row r="72" spans="1:15" ht="25.5" x14ac:dyDescent="0.2">
      <c r="A72" s="68" t="s">
        <v>174</v>
      </c>
      <c r="B72" s="67" t="s">
        <v>173</v>
      </c>
      <c r="C72" s="64">
        <v>0</v>
      </c>
      <c r="D72" s="174"/>
      <c r="E72" s="174"/>
      <c r="F72" s="173">
        <v>0</v>
      </c>
      <c r="G72" s="173" t="e">
        <f t="shared" si="0"/>
        <v>#DIV/0!</v>
      </c>
      <c r="H72" s="177"/>
      <c r="I72" s="66"/>
      <c r="J72" s="66"/>
      <c r="K72" s="66"/>
      <c r="L72" s="66"/>
      <c r="M72" s="66"/>
      <c r="N72" s="66"/>
      <c r="O72" s="66"/>
    </row>
    <row r="73" spans="1:15" x14ac:dyDescent="0.2">
      <c r="A73" s="180" t="s">
        <v>175</v>
      </c>
      <c r="B73" s="181" t="s">
        <v>176</v>
      </c>
      <c r="C73" s="177">
        <f>+C74+C76+C78+C80+C83+C85</f>
        <v>0</v>
      </c>
      <c r="D73" s="160">
        <v>0</v>
      </c>
      <c r="E73" s="160">
        <v>0</v>
      </c>
      <c r="F73" s="177">
        <f>+F74+F76+F78+F80+F83+F85</f>
        <v>0</v>
      </c>
      <c r="G73" s="177" t="e">
        <f t="shared" ref="G73:G136" si="1">+F73/C73*100</f>
        <v>#DIV/0!</v>
      </c>
      <c r="H73" s="177" t="e">
        <f>+F73/D73*100</f>
        <v>#DIV/0!</v>
      </c>
      <c r="I73" s="168"/>
      <c r="J73" s="168"/>
      <c r="K73" s="168"/>
      <c r="L73" s="168"/>
      <c r="M73" s="168"/>
      <c r="N73" s="168"/>
      <c r="O73" s="168"/>
    </row>
    <row r="74" spans="1:15" x14ac:dyDescent="0.2">
      <c r="A74" s="178" t="s">
        <v>177</v>
      </c>
      <c r="B74" s="179" t="s">
        <v>178</v>
      </c>
      <c r="C74" s="177">
        <f>+C75</f>
        <v>0</v>
      </c>
      <c r="D74" s="175"/>
      <c r="E74" s="175"/>
      <c r="F74" s="177">
        <f>+F75</f>
        <v>0</v>
      </c>
      <c r="G74" s="177" t="e">
        <f t="shared" si="1"/>
        <v>#DIV/0!</v>
      </c>
      <c r="H74" s="177"/>
      <c r="I74" s="168"/>
      <c r="J74" s="168"/>
      <c r="K74" s="168"/>
      <c r="L74" s="168"/>
      <c r="M74" s="168"/>
      <c r="N74" s="168"/>
      <c r="O74" s="168"/>
    </row>
    <row r="75" spans="1:15" x14ac:dyDescent="0.2">
      <c r="A75" s="68" t="s">
        <v>179</v>
      </c>
      <c r="B75" s="67" t="s">
        <v>180</v>
      </c>
      <c r="C75" s="173">
        <v>0</v>
      </c>
      <c r="D75" s="174"/>
      <c r="E75" s="174"/>
      <c r="F75" s="172">
        <v>0</v>
      </c>
      <c r="G75" s="173" t="e">
        <f t="shared" si="1"/>
        <v>#DIV/0!</v>
      </c>
      <c r="H75" s="177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8" t="s">
        <v>401</v>
      </c>
      <c r="B76" s="179" t="s">
        <v>402</v>
      </c>
      <c r="C76" s="177">
        <f>+C77</f>
        <v>0</v>
      </c>
      <c r="D76" s="175"/>
      <c r="E76" s="175"/>
      <c r="F76" s="177">
        <f>+F77</f>
        <v>0</v>
      </c>
      <c r="G76" s="177" t="e">
        <f t="shared" si="1"/>
        <v>#DIV/0!</v>
      </c>
      <c r="H76" s="177"/>
      <c r="I76" s="168"/>
      <c r="J76" s="168"/>
      <c r="K76" s="168"/>
      <c r="L76" s="168"/>
      <c r="M76" s="168"/>
      <c r="N76" s="168"/>
      <c r="O76" s="168"/>
    </row>
    <row r="77" spans="1:15" ht="25.5" x14ac:dyDescent="0.2">
      <c r="A77" s="68" t="s">
        <v>403</v>
      </c>
      <c r="B77" s="67" t="s">
        <v>404</v>
      </c>
      <c r="C77" s="173">
        <v>0</v>
      </c>
      <c r="D77" s="174"/>
      <c r="E77" s="174"/>
      <c r="F77" s="172">
        <v>0</v>
      </c>
      <c r="G77" s="173" t="e">
        <f t="shared" si="1"/>
        <v>#DIV/0!</v>
      </c>
      <c r="H77" s="177"/>
      <c r="I77" s="66"/>
      <c r="J77" s="66"/>
      <c r="K77" s="66"/>
      <c r="L77" s="66"/>
      <c r="M77" s="66"/>
      <c r="N77" s="66"/>
      <c r="O77" s="66"/>
    </row>
    <row r="78" spans="1:15" x14ac:dyDescent="0.2">
      <c r="A78" s="178" t="s">
        <v>181</v>
      </c>
      <c r="B78" s="179" t="s">
        <v>182</v>
      </c>
      <c r="C78" s="177">
        <f>+C79</f>
        <v>0</v>
      </c>
      <c r="D78" s="175"/>
      <c r="E78" s="175"/>
      <c r="F78" s="177">
        <f>+F79</f>
        <v>0</v>
      </c>
      <c r="G78" s="177" t="e">
        <f t="shared" si="1"/>
        <v>#DIV/0!</v>
      </c>
      <c r="H78" s="177"/>
      <c r="I78" s="168"/>
      <c r="J78" s="168"/>
      <c r="K78" s="168"/>
      <c r="L78" s="168"/>
      <c r="M78" s="168"/>
      <c r="N78" s="168"/>
      <c r="O78" s="168"/>
    </row>
    <row r="79" spans="1:15" x14ac:dyDescent="0.2">
      <c r="A79" s="68" t="s">
        <v>183</v>
      </c>
      <c r="B79" s="67" t="s">
        <v>184</v>
      </c>
      <c r="C79" s="173">
        <v>0</v>
      </c>
      <c r="D79" s="174"/>
      <c r="E79" s="174"/>
      <c r="F79" s="172">
        <v>0</v>
      </c>
      <c r="G79" s="173" t="e">
        <f t="shared" si="1"/>
        <v>#DIV/0!</v>
      </c>
      <c r="H79" s="177"/>
      <c r="I79" s="66"/>
      <c r="J79" s="66"/>
      <c r="K79" s="66"/>
      <c r="L79" s="66"/>
      <c r="M79" s="66"/>
      <c r="N79" s="66"/>
      <c r="O79" s="66"/>
    </row>
    <row r="80" spans="1:15" x14ac:dyDescent="0.2">
      <c r="A80" s="178" t="s">
        <v>185</v>
      </c>
      <c r="B80" s="179" t="s">
        <v>186</v>
      </c>
      <c r="C80" s="177">
        <f>+C81+C82</f>
        <v>0</v>
      </c>
      <c r="D80" s="175"/>
      <c r="E80" s="175"/>
      <c r="F80" s="177">
        <f>+F81+F82</f>
        <v>0</v>
      </c>
      <c r="G80" s="177" t="e">
        <f t="shared" si="1"/>
        <v>#DIV/0!</v>
      </c>
      <c r="H80" s="177"/>
      <c r="I80" s="168"/>
      <c r="J80" s="168"/>
      <c r="K80" s="168"/>
      <c r="L80" s="168"/>
      <c r="M80" s="168"/>
      <c r="N80" s="168"/>
      <c r="O80" s="168"/>
    </row>
    <row r="81" spans="1:15" x14ac:dyDescent="0.2">
      <c r="A81" s="68" t="s">
        <v>187</v>
      </c>
      <c r="B81" s="67" t="s">
        <v>188</v>
      </c>
      <c r="C81" s="64">
        <v>0</v>
      </c>
      <c r="D81" s="174"/>
      <c r="E81" s="174"/>
      <c r="F81" s="173">
        <v>0</v>
      </c>
      <c r="G81" s="173" t="e">
        <f t="shared" si="1"/>
        <v>#DIV/0!</v>
      </c>
      <c r="H81" s="177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8" t="s">
        <v>189</v>
      </c>
      <c r="B82" s="67" t="s">
        <v>190</v>
      </c>
      <c r="C82" s="173">
        <v>0</v>
      </c>
      <c r="D82" s="174"/>
      <c r="E82" s="174"/>
      <c r="F82" s="172">
        <v>0</v>
      </c>
      <c r="G82" s="173" t="e">
        <f t="shared" si="1"/>
        <v>#DIV/0!</v>
      </c>
      <c r="H82" s="177"/>
      <c r="I82" s="66"/>
      <c r="J82" s="66"/>
      <c r="K82" s="66"/>
      <c r="L82" s="66"/>
      <c r="M82" s="66"/>
      <c r="N82" s="66"/>
      <c r="O82" s="66"/>
    </row>
    <row r="83" spans="1:15" x14ac:dyDescent="0.2">
      <c r="A83" s="178" t="s">
        <v>191</v>
      </c>
      <c r="B83" s="179" t="s">
        <v>192</v>
      </c>
      <c r="C83" s="177">
        <f>+C84</f>
        <v>0</v>
      </c>
      <c r="D83" s="175"/>
      <c r="E83" s="175"/>
      <c r="F83" s="177">
        <f>+F84</f>
        <v>0</v>
      </c>
      <c r="G83" s="177" t="e">
        <f t="shared" si="1"/>
        <v>#DIV/0!</v>
      </c>
      <c r="H83" s="177"/>
      <c r="I83" s="168"/>
      <c r="J83" s="168"/>
      <c r="K83" s="168"/>
      <c r="L83" s="168"/>
      <c r="M83" s="168"/>
      <c r="N83" s="168"/>
      <c r="O83" s="168"/>
    </row>
    <row r="84" spans="1:15" x14ac:dyDescent="0.2">
      <c r="A84" s="68" t="s">
        <v>193</v>
      </c>
      <c r="B84" s="67" t="s">
        <v>194</v>
      </c>
      <c r="C84" s="64">
        <v>0</v>
      </c>
      <c r="D84" s="174"/>
      <c r="E84" s="174"/>
      <c r="F84" s="173">
        <v>0</v>
      </c>
      <c r="G84" s="173" t="e">
        <f t="shared" si="1"/>
        <v>#DIV/0!</v>
      </c>
      <c r="H84" s="177"/>
      <c r="I84" s="66"/>
      <c r="J84" s="66"/>
      <c r="K84" s="66"/>
      <c r="L84" s="66"/>
      <c r="M84" s="66"/>
      <c r="N84" s="66"/>
      <c r="O84" s="66"/>
    </row>
    <row r="85" spans="1:15" x14ac:dyDescent="0.2">
      <c r="A85" s="178" t="s">
        <v>195</v>
      </c>
      <c r="B85" s="179" t="s">
        <v>196</v>
      </c>
      <c r="C85" s="177">
        <f>SUM(C86:C89)</f>
        <v>0</v>
      </c>
      <c r="D85" s="175"/>
      <c r="E85" s="175"/>
      <c r="F85" s="177">
        <f>SUM(F86:F89)</f>
        <v>0</v>
      </c>
      <c r="G85" s="177" t="e">
        <f t="shared" si="1"/>
        <v>#DIV/0!</v>
      </c>
      <c r="H85" s="177"/>
      <c r="I85" s="168"/>
      <c r="J85" s="168"/>
      <c r="K85" s="168"/>
      <c r="L85" s="168"/>
      <c r="M85" s="168"/>
      <c r="N85" s="168"/>
      <c r="O85" s="168"/>
    </row>
    <row r="86" spans="1:15" ht="25.5" x14ac:dyDescent="0.2">
      <c r="A86" s="68" t="s">
        <v>197</v>
      </c>
      <c r="B86" s="67" t="s">
        <v>198</v>
      </c>
      <c r="C86" s="64">
        <v>0</v>
      </c>
      <c r="D86" s="174"/>
      <c r="E86" s="174"/>
      <c r="F86" s="173">
        <v>0</v>
      </c>
      <c r="G86" s="173" t="e">
        <f t="shared" si="1"/>
        <v>#DIV/0!</v>
      </c>
      <c r="H86" s="177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8" t="s">
        <v>199</v>
      </c>
      <c r="B87" s="67" t="s">
        <v>200</v>
      </c>
      <c r="C87" s="64">
        <v>0</v>
      </c>
      <c r="D87" s="174"/>
      <c r="E87" s="174"/>
      <c r="F87" s="173">
        <v>0</v>
      </c>
      <c r="G87" s="173" t="e">
        <f t="shared" si="1"/>
        <v>#DIV/0!</v>
      </c>
      <c r="H87" s="177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8" t="s">
        <v>405</v>
      </c>
      <c r="B88" s="67" t="s">
        <v>292</v>
      </c>
      <c r="C88" s="64">
        <v>0</v>
      </c>
      <c r="D88" s="175"/>
      <c r="E88" s="175"/>
      <c r="F88" s="173">
        <v>0</v>
      </c>
      <c r="G88" s="173" t="e">
        <f t="shared" si="1"/>
        <v>#DIV/0!</v>
      </c>
      <c r="H88" s="177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8" t="s">
        <v>201</v>
      </c>
      <c r="B89" s="67" t="s">
        <v>202</v>
      </c>
      <c r="C89" s="64">
        <v>0</v>
      </c>
      <c r="D89" s="175"/>
      <c r="E89" s="175"/>
      <c r="F89" s="173">
        <v>0</v>
      </c>
      <c r="G89" s="173" t="e">
        <f t="shared" si="1"/>
        <v>#DIV/0!</v>
      </c>
      <c r="H89" s="177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0" t="s">
        <v>203</v>
      </c>
      <c r="B90" s="181" t="s">
        <v>204</v>
      </c>
      <c r="C90" s="177">
        <f>+C91+C94</f>
        <v>464.53</v>
      </c>
      <c r="D90" s="160">
        <v>2700</v>
      </c>
      <c r="E90" s="160">
        <v>2700</v>
      </c>
      <c r="F90" s="177">
        <f>+F91+F94</f>
        <v>675.4</v>
      </c>
      <c r="G90" s="177">
        <f t="shared" si="1"/>
        <v>145.39426947667536</v>
      </c>
      <c r="H90" s="177">
        <f>+F90/D90*100</f>
        <v>25.014814814814812</v>
      </c>
      <c r="I90" s="168"/>
      <c r="J90" s="168"/>
      <c r="K90" s="168"/>
      <c r="L90" s="168"/>
      <c r="M90" s="168"/>
      <c r="N90" s="168"/>
      <c r="O90" s="168"/>
    </row>
    <row r="91" spans="1:15" x14ac:dyDescent="0.2">
      <c r="A91" s="178" t="s">
        <v>406</v>
      </c>
      <c r="B91" s="179" t="s">
        <v>407</v>
      </c>
      <c r="C91" s="177">
        <f>+C92+C93</f>
        <v>0</v>
      </c>
      <c r="D91" s="175"/>
      <c r="E91" s="175"/>
      <c r="F91" s="177">
        <f>+F92+F93</f>
        <v>0</v>
      </c>
      <c r="G91" s="177" t="e">
        <f t="shared" si="1"/>
        <v>#DIV/0!</v>
      </c>
      <c r="H91" s="177"/>
      <c r="I91" s="168"/>
      <c r="J91" s="168"/>
      <c r="K91" s="168"/>
      <c r="L91" s="168"/>
      <c r="M91" s="168"/>
      <c r="N91" s="168"/>
      <c r="O91" s="168"/>
    </row>
    <row r="92" spans="1:15" ht="25.5" x14ac:dyDescent="0.2">
      <c r="A92" s="68" t="s">
        <v>408</v>
      </c>
      <c r="B92" s="67" t="s">
        <v>409</v>
      </c>
      <c r="C92" s="64">
        <v>0</v>
      </c>
      <c r="D92" s="175"/>
      <c r="E92" s="175"/>
      <c r="F92" s="173">
        <v>0</v>
      </c>
      <c r="G92" s="173" t="e">
        <f t="shared" si="1"/>
        <v>#DIV/0!</v>
      </c>
      <c r="H92" s="177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8" t="s">
        <v>410</v>
      </c>
      <c r="B93" s="67" t="s">
        <v>411</v>
      </c>
      <c r="C93" s="64">
        <v>0</v>
      </c>
      <c r="D93" s="175"/>
      <c r="E93" s="175"/>
      <c r="F93" s="173">
        <v>0</v>
      </c>
      <c r="G93" s="173" t="e">
        <f t="shared" si="1"/>
        <v>#DIV/0!</v>
      </c>
      <c r="H93" s="177"/>
      <c r="I93" s="66"/>
      <c r="J93" s="66"/>
      <c r="K93" s="66"/>
      <c r="L93" s="66"/>
      <c r="M93" s="66"/>
      <c r="N93" s="66"/>
      <c r="O93" s="66"/>
    </row>
    <row r="94" spans="1:15" x14ac:dyDescent="0.2">
      <c r="A94" s="178" t="s">
        <v>205</v>
      </c>
      <c r="B94" s="179" t="s">
        <v>206</v>
      </c>
      <c r="C94" s="177">
        <f>SUM(C95:C97)</f>
        <v>464.53</v>
      </c>
      <c r="D94" s="175"/>
      <c r="E94" s="175"/>
      <c r="F94" s="177">
        <f>SUM(F95:F97)</f>
        <v>675.4</v>
      </c>
      <c r="G94" s="177">
        <f t="shared" si="1"/>
        <v>145.39426947667536</v>
      </c>
      <c r="H94" s="177"/>
      <c r="I94" s="168"/>
      <c r="J94" s="168"/>
      <c r="K94" s="168"/>
      <c r="L94" s="168"/>
      <c r="M94" s="168"/>
      <c r="N94" s="168"/>
      <c r="O94" s="168"/>
    </row>
    <row r="95" spans="1:15" x14ac:dyDescent="0.2">
      <c r="A95" s="68" t="s">
        <v>207</v>
      </c>
      <c r="B95" s="67" t="s">
        <v>208</v>
      </c>
      <c r="C95" s="173">
        <v>464.53</v>
      </c>
      <c r="D95" s="175"/>
      <c r="E95" s="175"/>
      <c r="F95" s="173">
        <v>675.4</v>
      </c>
      <c r="G95" s="173">
        <f t="shared" si="1"/>
        <v>145.39426947667536</v>
      </c>
      <c r="H95" s="177"/>
      <c r="I95" s="66"/>
      <c r="J95" s="66"/>
      <c r="K95" s="66"/>
      <c r="L95" s="66"/>
      <c r="M95" s="66"/>
      <c r="N95" s="66"/>
      <c r="O95" s="66"/>
    </row>
    <row r="96" spans="1:15" x14ac:dyDescent="0.2">
      <c r="A96" s="68" t="s">
        <v>412</v>
      </c>
      <c r="B96" s="67" t="s">
        <v>413</v>
      </c>
      <c r="C96" s="173">
        <v>0</v>
      </c>
      <c r="D96" s="175"/>
      <c r="E96" s="175"/>
      <c r="F96" s="173">
        <v>0</v>
      </c>
      <c r="G96" s="173" t="e">
        <f t="shared" si="1"/>
        <v>#DIV/0!</v>
      </c>
      <c r="H96" s="177"/>
      <c r="I96" s="66"/>
      <c r="J96" s="66"/>
      <c r="K96" s="66"/>
      <c r="L96" s="66"/>
      <c r="M96" s="66"/>
      <c r="N96" s="66"/>
      <c r="O96" s="66"/>
    </row>
    <row r="97" spans="1:15" x14ac:dyDescent="0.2">
      <c r="A97" s="68" t="s">
        <v>414</v>
      </c>
      <c r="B97" s="67" t="s">
        <v>415</v>
      </c>
      <c r="C97" s="173">
        <v>0</v>
      </c>
      <c r="D97" s="175"/>
      <c r="E97" s="175"/>
      <c r="F97" s="173">
        <v>0</v>
      </c>
      <c r="G97" s="173" t="e">
        <f t="shared" si="1"/>
        <v>#DIV/0!</v>
      </c>
      <c r="H97" s="177"/>
      <c r="I97" s="66"/>
      <c r="J97" s="66"/>
      <c r="K97" s="66"/>
      <c r="L97" s="66"/>
      <c r="M97" s="66"/>
      <c r="N97" s="66"/>
      <c r="O97" s="66"/>
    </row>
    <row r="98" spans="1:15" x14ac:dyDescent="0.2">
      <c r="A98" s="180" t="s">
        <v>209</v>
      </c>
      <c r="B98" s="181" t="s">
        <v>210</v>
      </c>
      <c r="C98" s="177">
        <f>+C99+C103+C107</f>
        <v>3051.17</v>
      </c>
      <c r="D98" s="160">
        <v>3500</v>
      </c>
      <c r="E98" s="160">
        <v>3500</v>
      </c>
      <c r="F98" s="177">
        <f>+F99+F103+F107</f>
        <v>3606.17</v>
      </c>
      <c r="G98" s="177">
        <f t="shared" si="1"/>
        <v>118.18974360655092</v>
      </c>
      <c r="H98" s="177">
        <f>+F98/D98*100</f>
        <v>103.03342857142856</v>
      </c>
      <c r="I98" s="168"/>
      <c r="J98" s="168"/>
      <c r="K98" s="168"/>
      <c r="L98" s="168"/>
      <c r="M98" s="168"/>
      <c r="N98" s="168"/>
      <c r="O98" s="168"/>
    </row>
    <row r="99" spans="1:15" x14ac:dyDescent="0.2">
      <c r="A99" s="178" t="s">
        <v>211</v>
      </c>
      <c r="B99" s="179" t="s">
        <v>212</v>
      </c>
      <c r="C99" s="177">
        <f>SUM(C100:C102)</f>
        <v>3051.17</v>
      </c>
      <c r="D99" s="175"/>
      <c r="E99" s="175"/>
      <c r="F99" s="177">
        <f>SUM(F100:F102)</f>
        <v>3606.17</v>
      </c>
      <c r="G99" s="177">
        <f t="shared" si="1"/>
        <v>118.18974360655092</v>
      </c>
      <c r="H99" s="177"/>
      <c r="I99" s="168"/>
      <c r="J99" s="168"/>
      <c r="K99" s="168"/>
      <c r="L99" s="168"/>
      <c r="M99" s="168"/>
      <c r="N99" s="168"/>
      <c r="O99" s="168"/>
    </row>
    <row r="100" spans="1:15" x14ac:dyDescent="0.2">
      <c r="A100" s="68" t="s">
        <v>213</v>
      </c>
      <c r="B100" s="67" t="s">
        <v>214</v>
      </c>
      <c r="C100" s="173">
        <v>3051.17</v>
      </c>
      <c r="D100" s="175"/>
      <c r="E100" s="175"/>
      <c r="F100" s="173">
        <v>3606.17</v>
      </c>
      <c r="G100" s="173">
        <f t="shared" si="1"/>
        <v>118.18974360655092</v>
      </c>
      <c r="H100" s="177"/>
      <c r="I100" s="66"/>
      <c r="J100" s="66"/>
      <c r="K100" s="66"/>
      <c r="L100" s="66"/>
      <c r="M100" s="66"/>
      <c r="N100" s="66"/>
      <c r="O100" s="66"/>
    </row>
    <row r="101" spans="1:15" x14ac:dyDescent="0.2">
      <c r="A101" s="68" t="s">
        <v>416</v>
      </c>
      <c r="B101" s="67" t="s">
        <v>417</v>
      </c>
      <c r="C101" s="173">
        <v>0</v>
      </c>
      <c r="D101" s="175"/>
      <c r="E101" s="175"/>
      <c r="F101" s="173">
        <v>0</v>
      </c>
      <c r="G101" s="173" t="e">
        <f t="shared" si="1"/>
        <v>#DIV/0!</v>
      </c>
      <c r="H101" s="177"/>
      <c r="I101" s="66"/>
      <c r="J101" s="66"/>
      <c r="K101" s="66"/>
      <c r="L101" s="66"/>
      <c r="M101" s="66"/>
      <c r="N101" s="66"/>
      <c r="O101" s="66"/>
    </row>
    <row r="102" spans="1:15" x14ac:dyDescent="0.2">
      <c r="A102" s="68" t="s">
        <v>215</v>
      </c>
      <c r="B102" s="67" t="s">
        <v>216</v>
      </c>
      <c r="C102" s="173">
        <v>0</v>
      </c>
      <c r="D102" s="175"/>
      <c r="E102" s="175"/>
      <c r="F102" s="173">
        <v>0</v>
      </c>
      <c r="G102" s="173" t="e">
        <f t="shared" si="1"/>
        <v>#DIV/0!</v>
      </c>
      <c r="H102" s="177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8" t="s">
        <v>217</v>
      </c>
      <c r="B103" s="179" t="s">
        <v>218</v>
      </c>
      <c r="C103" s="177">
        <f>SUM(C104:C106)</f>
        <v>0</v>
      </c>
      <c r="D103" s="175"/>
      <c r="E103" s="175"/>
      <c r="F103" s="177">
        <f>SUM(F104:F106)</f>
        <v>0</v>
      </c>
      <c r="G103" s="177" t="e">
        <f t="shared" si="1"/>
        <v>#DIV/0!</v>
      </c>
      <c r="H103" s="177"/>
      <c r="I103" s="168"/>
      <c r="J103" s="168"/>
      <c r="K103" s="168"/>
      <c r="L103" s="168"/>
      <c r="M103" s="168"/>
      <c r="N103" s="168"/>
      <c r="O103" s="168"/>
    </row>
    <row r="104" spans="1:15" x14ac:dyDescent="0.2">
      <c r="A104" s="68" t="s">
        <v>219</v>
      </c>
      <c r="B104" s="67" t="s">
        <v>220</v>
      </c>
      <c r="C104" s="64">
        <v>0</v>
      </c>
      <c r="D104" s="175"/>
      <c r="E104" s="175"/>
      <c r="F104" s="64">
        <v>0</v>
      </c>
      <c r="G104" s="173" t="e">
        <f t="shared" si="1"/>
        <v>#DIV/0!</v>
      </c>
      <c r="H104" s="177"/>
      <c r="I104" s="66"/>
      <c r="J104" s="66"/>
      <c r="K104" s="66"/>
      <c r="L104" s="66"/>
      <c r="M104" s="66"/>
      <c r="N104" s="66"/>
      <c r="O104" s="66"/>
    </row>
    <row r="105" spans="1:15" x14ac:dyDescent="0.2">
      <c r="A105" s="68" t="s">
        <v>418</v>
      </c>
      <c r="B105" s="67" t="s">
        <v>419</v>
      </c>
      <c r="C105" s="64">
        <v>0</v>
      </c>
      <c r="D105" s="175"/>
      <c r="E105" s="175"/>
      <c r="F105" s="64">
        <v>0</v>
      </c>
      <c r="G105" s="173" t="e">
        <f t="shared" si="1"/>
        <v>#DIV/0!</v>
      </c>
      <c r="H105" s="177"/>
      <c r="I105" s="66"/>
      <c r="J105" s="66"/>
      <c r="K105" s="66"/>
      <c r="L105" s="66"/>
      <c r="M105" s="66"/>
      <c r="N105" s="66"/>
      <c r="O105" s="66"/>
    </row>
    <row r="106" spans="1:15" x14ac:dyDescent="0.2">
      <c r="A106" s="68" t="s">
        <v>221</v>
      </c>
      <c r="B106" s="67" t="s">
        <v>222</v>
      </c>
      <c r="C106" s="64">
        <v>0</v>
      </c>
      <c r="D106" s="175"/>
      <c r="E106" s="175"/>
      <c r="F106" s="64">
        <v>0</v>
      </c>
      <c r="G106" s="173" t="e">
        <f t="shared" si="1"/>
        <v>#DIV/0!</v>
      </c>
      <c r="H106" s="177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8" t="s">
        <v>223</v>
      </c>
      <c r="B107" s="179" t="s">
        <v>224</v>
      </c>
      <c r="C107" s="177">
        <f>SUM(C108:C112)</f>
        <v>0</v>
      </c>
      <c r="D107" s="175"/>
      <c r="E107" s="175"/>
      <c r="F107" s="177">
        <f>SUM(F108:F112)</f>
        <v>0</v>
      </c>
      <c r="G107" s="177" t="e">
        <f t="shared" si="1"/>
        <v>#DIV/0!</v>
      </c>
      <c r="H107" s="177"/>
      <c r="I107" s="168"/>
      <c r="J107" s="168"/>
      <c r="K107" s="168"/>
      <c r="L107" s="168"/>
      <c r="M107" s="168"/>
      <c r="N107" s="168"/>
      <c r="O107" s="168"/>
    </row>
    <row r="108" spans="1:15" x14ac:dyDescent="0.2">
      <c r="A108" s="68" t="s">
        <v>420</v>
      </c>
      <c r="B108" s="67" t="s">
        <v>421</v>
      </c>
      <c r="C108" s="64">
        <v>0</v>
      </c>
      <c r="D108" s="175"/>
      <c r="E108" s="175"/>
      <c r="F108" s="64">
        <v>0</v>
      </c>
      <c r="G108" s="173" t="e">
        <f t="shared" si="1"/>
        <v>#DIV/0!</v>
      </c>
      <c r="H108" s="177"/>
      <c r="I108" s="66"/>
      <c r="J108" s="66"/>
      <c r="K108" s="66"/>
      <c r="L108" s="66"/>
      <c r="M108" s="66"/>
      <c r="N108" s="66"/>
      <c r="O108" s="66"/>
    </row>
    <row r="109" spans="1:15" x14ac:dyDescent="0.2">
      <c r="A109" s="68" t="s">
        <v>422</v>
      </c>
      <c r="B109" s="67" t="s">
        <v>423</v>
      </c>
      <c r="C109" s="64">
        <v>0</v>
      </c>
      <c r="D109" s="175"/>
      <c r="E109" s="175"/>
      <c r="F109" s="64">
        <v>0</v>
      </c>
      <c r="G109" s="173" t="e">
        <f t="shared" si="1"/>
        <v>#DIV/0!</v>
      </c>
      <c r="H109" s="177"/>
      <c r="I109" s="66"/>
      <c r="J109" s="66"/>
      <c r="K109" s="66"/>
      <c r="L109" s="66"/>
      <c r="M109" s="66"/>
      <c r="N109" s="66"/>
      <c r="O109" s="66"/>
    </row>
    <row r="110" spans="1:15" x14ac:dyDescent="0.2">
      <c r="A110" s="68" t="s">
        <v>424</v>
      </c>
      <c r="B110" s="67" t="s">
        <v>425</v>
      </c>
      <c r="C110" s="64">
        <v>0</v>
      </c>
      <c r="D110" s="175"/>
      <c r="E110" s="175"/>
      <c r="F110" s="64">
        <v>0</v>
      </c>
      <c r="G110" s="173" t="e">
        <f t="shared" si="1"/>
        <v>#DIV/0!</v>
      </c>
      <c r="H110" s="177"/>
      <c r="I110" s="66"/>
      <c r="J110" s="66"/>
      <c r="K110" s="66"/>
      <c r="L110" s="66"/>
      <c r="M110" s="66"/>
      <c r="N110" s="66"/>
      <c r="O110" s="66"/>
    </row>
    <row r="111" spans="1:15" x14ac:dyDescent="0.2">
      <c r="A111" s="68" t="s">
        <v>225</v>
      </c>
      <c r="B111" s="67" t="s">
        <v>226</v>
      </c>
      <c r="C111" s="64">
        <v>0</v>
      </c>
      <c r="D111" s="175"/>
      <c r="E111" s="175"/>
      <c r="F111" s="64">
        <v>0</v>
      </c>
      <c r="G111" s="173" t="e">
        <f t="shared" si="1"/>
        <v>#DIV/0!</v>
      </c>
      <c r="H111" s="177"/>
      <c r="I111" s="66"/>
      <c r="J111" s="66"/>
      <c r="K111" s="66"/>
      <c r="L111" s="66"/>
      <c r="M111" s="66"/>
      <c r="N111" s="66"/>
      <c r="O111" s="66"/>
    </row>
    <row r="112" spans="1:15" x14ac:dyDescent="0.2">
      <c r="A112" s="68" t="s">
        <v>426</v>
      </c>
      <c r="B112" s="67" t="s">
        <v>333</v>
      </c>
      <c r="C112" s="64">
        <v>0</v>
      </c>
      <c r="D112" s="175"/>
      <c r="E112" s="175"/>
      <c r="F112" s="64">
        <v>0</v>
      </c>
      <c r="G112" s="173" t="e">
        <f t="shared" si="1"/>
        <v>#DIV/0!</v>
      </c>
      <c r="H112" s="177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2" t="s">
        <v>57</v>
      </c>
      <c r="B113" s="193" t="s">
        <v>227</v>
      </c>
      <c r="C113" s="194">
        <f>+C114+C121+C148+C151+C154</f>
        <v>17134.21</v>
      </c>
      <c r="D113" s="195">
        <f>+D114+D121+D148+D151+D154</f>
        <v>140845</v>
      </c>
      <c r="E113" s="195">
        <f>+E114+E121+E148+E151+E154</f>
        <v>140845</v>
      </c>
      <c r="F113" s="194">
        <f>+F114+F121+F148+F151+F154</f>
        <v>28670.67</v>
      </c>
      <c r="G113" s="194">
        <f t="shared" si="1"/>
        <v>167.32997903025583</v>
      </c>
      <c r="H113" s="194">
        <f>+F113/D113*100</f>
        <v>20.356185878092941</v>
      </c>
      <c r="I113" s="165"/>
      <c r="J113" s="165"/>
      <c r="K113" s="165"/>
      <c r="L113" s="165"/>
      <c r="M113" s="165"/>
      <c r="N113" s="165"/>
      <c r="O113" s="165"/>
    </row>
    <row r="114" spans="1:15" x14ac:dyDescent="0.2">
      <c r="A114" s="180" t="s">
        <v>59</v>
      </c>
      <c r="B114" s="181" t="s">
        <v>228</v>
      </c>
      <c r="C114" s="177">
        <f>+C115+C117</f>
        <v>0</v>
      </c>
      <c r="D114" s="160">
        <v>28750</v>
      </c>
      <c r="E114" s="160">
        <v>28750</v>
      </c>
      <c r="F114" s="177">
        <f>+F115+F117</f>
        <v>6303.61</v>
      </c>
      <c r="G114" s="177" t="e">
        <f t="shared" si="1"/>
        <v>#DIV/0!</v>
      </c>
      <c r="H114" s="177">
        <f>+F114/D114*100</f>
        <v>21.925599999999999</v>
      </c>
      <c r="I114" s="168"/>
      <c r="J114" s="168"/>
      <c r="K114" s="168"/>
      <c r="L114" s="168"/>
      <c r="M114" s="168"/>
      <c r="N114" s="168"/>
      <c r="O114" s="168"/>
    </row>
    <row r="115" spans="1:15" x14ac:dyDescent="0.2">
      <c r="A115" s="178" t="s">
        <v>427</v>
      </c>
      <c r="B115" s="179" t="s">
        <v>428</v>
      </c>
      <c r="C115" s="177">
        <f>+C116</f>
        <v>0</v>
      </c>
      <c r="D115" s="175"/>
      <c r="E115" s="175"/>
      <c r="F115" s="177">
        <f>+F116</f>
        <v>0</v>
      </c>
      <c r="G115" s="177" t="e">
        <f t="shared" si="1"/>
        <v>#DIV/0!</v>
      </c>
      <c r="H115" s="177"/>
      <c r="I115" s="168"/>
      <c r="J115" s="168"/>
      <c r="K115" s="168"/>
      <c r="L115" s="168"/>
      <c r="M115" s="168"/>
      <c r="N115" s="168"/>
      <c r="O115" s="168"/>
    </row>
    <row r="116" spans="1:15" x14ac:dyDescent="0.2">
      <c r="A116" s="68" t="s">
        <v>429</v>
      </c>
      <c r="B116" s="67" t="s">
        <v>344</v>
      </c>
      <c r="C116" s="64">
        <v>0</v>
      </c>
      <c r="D116" s="175"/>
      <c r="E116" s="175"/>
      <c r="F116" s="173">
        <v>0</v>
      </c>
      <c r="G116" s="173" t="e">
        <f t="shared" si="1"/>
        <v>#DIV/0!</v>
      </c>
      <c r="H116" s="177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8" t="s">
        <v>229</v>
      </c>
      <c r="B117" s="179" t="s">
        <v>230</v>
      </c>
      <c r="C117" s="177">
        <f>+C118+C119+C120</f>
        <v>0</v>
      </c>
      <c r="D117" s="175"/>
      <c r="E117" s="175"/>
      <c r="F117" s="177">
        <f>+F118+F119+F120</f>
        <v>6303.61</v>
      </c>
      <c r="G117" s="177" t="e">
        <f t="shared" si="1"/>
        <v>#DIV/0!</v>
      </c>
      <c r="H117" s="177"/>
      <c r="I117" s="168"/>
      <c r="J117" s="168"/>
      <c r="K117" s="168"/>
      <c r="L117" s="168"/>
      <c r="M117" s="168"/>
      <c r="N117" s="168"/>
      <c r="O117" s="168"/>
    </row>
    <row r="118" spans="1:15" x14ac:dyDescent="0.2">
      <c r="A118" s="68" t="s">
        <v>231</v>
      </c>
      <c r="B118" s="67" t="s">
        <v>232</v>
      </c>
      <c r="C118" s="64">
        <v>0</v>
      </c>
      <c r="D118" s="175"/>
      <c r="E118" s="175"/>
      <c r="F118" s="173">
        <v>0</v>
      </c>
      <c r="G118" s="173" t="e">
        <f t="shared" si="1"/>
        <v>#DIV/0!</v>
      </c>
      <c r="H118" s="177"/>
      <c r="I118" s="66"/>
      <c r="J118" s="66"/>
      <c r="K118" s="66"/>
      <c r="L118" s="66"/>
      <c r="M118" s="66"/>
      <c r="N118" s="66"/>
      <c r="O118" s="66"/>
    </row>
    <row r="119" spans="1:15" x14ac:dyDescent="0.2">
      <c r="A119" s="68" t="s">
        <v>430</v>
      </c>
      <c r="B119" s="67" t="s">
        <v>348</v>
      </c>
      <c r="C119" s="64">
        <v>0</v>
      </c>
      <c r="D119" s="175"/>
      <c r="E119" s="175"/>
      <c r="F119" s="173">
        <v>6303.61</v>
      </c>
      <c r="G119" s="173" t="e">
        <f t="shared" si="1"/>
        <v>#DIV/0!</v>
      </c>
      <c r="H119" s="177"/>
      <c r="I119" s="66"/>
      <c r="J119" s="66"/>
      <c r="K119" s="66"/>
      <c r="L119" s="66"/>
      <c r="M119" s="66"/>
      <c r="N119" s="66"/>
      <c r="O119" s="66"/>
    </row>
    <row r="120" spans="1:15" x14ac:dyDescent="0.2">
      <c r="A120" s="68" t="s">
        <v>431</v>
      </c>
      <c r="B120" s="67" t="s">
        <v>432</v>
      </c>
      <c r="C120" s="64">
        <v>0</v>
      </c>
      <c r="D120" s="175"/>
      <c r="E120" s="175"/>
      <c r="F120" s="173">
        <v>0</v>
      </c>
      <c r="G120" s="173" t="e">
        <f t="shared" si="1"/>
        <v>#DIV/0!</v>
      </c>
      <c r="H120" s="177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0" t="s">
        <v>233</v>
      </c>
      <c r="B121" s="181" t="s">
        <v>234</v>
      </c>
      <c r="C121" s="177">
        <f>+C122+C126+C134+C137+C141+C144</f>
        <v>17134.21</v>
      </c>
      <c r="D121" s="160">
        <v>105845</v>
      </c>
      <c r="E121" s="160">
        <v>105845</v>
      </c>
      <c r="F121" s="177">
        <f>+F122+F126+F134+F137+F141+F144</f>
        <v>22367.059999999998</v>
      </c>
      <c r="G121" s="177">
        <f t="shared" si="1"/>
        <v>130.54036340163918</v>
      </c>
      <c r="H121" s="177">
        <f>+F121/D121*100</f>
        <v>21.131900420426092</v>
      </c>
      <c r="I121" s="168"/>
      <c r="J121" s="168"/>
      <c r="K121" s="168"/>
      <c r="L121" s="168"/>
      <c r="M121" s="168"/>
      <c r="N121" s="168"/>
      <c r="O121" s="168"/>
    </row>
    <row r="122" spans="1:15" x14ac:dyDescent="0.2">
      <c r="A122" s="178" t="s">
        <v>235</v>
      </c>
      <c r="B122" s="179" t="s">
        <v>236</v>
      </c>
      <c r="C122" s="177">
        <f>SUM(C123:C125)</f>
        <v>0</v>
      </c>
      <c r="D122" s="175"/>
      <c r="E122" s="175"/>
      <c r="F122" s="177">
        <f>SUM(F123:F125)</f>
        <v>0</v>
      </c>
      <c r="G122" s="177" t="e">
        <f t="shared" si="1"/>
        <v>#DIV/0!</v>
      </c>
      <c r="H122" s="177"/>
      <c r="I122" s="168"/>
      <c r="J122" s="168"/>
      <c r="K122" s="168"/>
      <c r="L122" s="168"/>
      <c r="M122" s="168"/>
      <c r="N122" s="168"/>
      <c r="O122" s="168"/>
    </row>
    <row r="123" spans="1:15" x14ac:dyDescent="0.2">
      <c r="A123" s="68" t="s">
        <v>433</v>
      </c>
      <c r="B123" s="67" t="s">
        <v>354</v>
      </c>
      <c r="C123" s="64">
        <v>0</v>
      </c>
      <c r="D123" s="175"/>
      <c r="E123" s="175"/>
      <c r="F123" s="173">
        <v>0</v>
      </c>
      <c r="G123" s="173" t="e">
        <f t="shared" si="1"/>
        <v>#DIV/0!</v>
      </c>
      <c r="H123" s="177"/>
      <c r="I123" s="66"/>
      <c r="J123" s="66"/>
      <c r="K123" s="66"/>
      <c r="L123" s="66"/>
      <c r="M123" s="66"/>
      <c r="N123" s="66"/>
      <c r="O123" s="66"/>
    </row>
    <row r="124" spans="1:15" x14ac:dyDescent="0.2">
      <c r="A124" s="68" t="s">
        <v>237</v>
      </c>
      <c r="B124" s="67" t="s">
        <v>238</v>
      </c>
      <c r="C124" s="64">
        <v>0</v>
      </c>
      <c r="D124" s="175"/>
      <c r="E124" s="175"/>
      <c r="F124" s="173">
        <v>0</v>
      </c>
      <c r="G124" s="173" t="e">
        <f t="shared" si="1"/>
        <v>#DIV/0!</v>
      </c>
      <c r="H124" s="177"/>
      <c r="I124" s="66"/>
      <c r="J124" s="66"/>
      <c r="K124" s="66"/>
      <c r="L124" s="66"/>
      <c r="M124" s="66"/>
      <c r="N124" s="66"/>
      <c r="O124" s="66"/>
    </row>
    <row r="125" spans="1:15" x14ac:dyDescent="0.2">
      <c r="A125" s="68" t="s">
        <v>434</v>
      </c>
      <c r="B125" s="67" t="s">
        <v>435</v>
      </c>
      <c r="C125" s="64">
        <v>0</v>
      </c>
      <c r="D125" s="175"/>
      <c r="E125" s="175"/>
      <c r="F125" s="173">
        <v>0</v>
      </c>
      <c r="G125" s="173" t="e">
        <f t="shared" si="1"/>
        <v>#DIV/0!</v>
      </c>
      <c r="H125" s="177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8" t="s">
        <v>239</v>
      </c>
      <c r="B126" s="179" t="s">
        <v>240</v>
      </c>
      <c r="C126" s="177">
        <f>SUM(C127:C133)</f>
        <v>7748.45</v>
      </c>
      <c r="D126" s="175"/>
      <c r="E126" s="175"/>
      <c r="F126" s="177">
        <f>SUM(F127:F133)</f>
        <v>20146.84</v>
      </c>
      <c r="G126" s="177">
        <f t="shared" si="1"/>
        <v>260.01122805206205</v>
      </c>
      <c r="H126" s="177"/>
      <c r="I126" s="168"/>
      <c r="J126" s="168"/>
      <c r="K126" s="168"/>
      <c r="L126" s="168"/>
      <c r="M126" s="168"/>
      <c r="N126" s="168"/>
      <c r="O126" s="168"/>
    </row>
    <row r="127" spans="1:15" x14ac:dyDescent="0.2">
      <c r="A127" s="68" t="s">
        <v>241</v>
      </c>
      <c r="B127" s="67" t="s">
        <v>242</v>
      </c>
      <c r="C127" s="64">
        <v>2726.25</v>
      </c>
      <c r="D127" s="175"/>
      <c r="E127" s="175"/>
      <c r="F127" s="173">
        <v>17613.5</v>
      </c>
      <c r="G127" s="173">
        <f t="shared" si="1"/>
        <v>646.07060981201278</v>
      </c>
      <c r="H127" s="177"/>
      <c r="I127" s="66"/>
      <c r="J127" s="66"/>
      <c r="K127" s="66"/>
      <c r="L127" s="66"/>
      <c r="M127" s="66"/>
      <c r="N127" s="66"/>
      <c r="O127" s="66"/>
    </row>
    <row r="128" spans="1:15" x14ac:dyDescent="0.2">
      <c r="A128" s="68" t="s">
        <v>436</v>
      </c>
      <c r="B128" s="67" t="s">
        <v>437</v>
      </c>
      <c r="C128" s="64">
        <v>1198.7</v>
      </c>
      <c r="D128" s="175"/>
      <c r="E128" s="175"/>
      <c r="F128" s="173">
        <v>763.75</v>
      </c>
      <c r="G128" s="173">
        <f t="shared" si="1"/>
        <v>63.714857762576131</v>
      </c>
      <c r="H128" s="177"/>
      <c r="I128" s="66"/>
      <c r="J128" s="66"/>
      <c r="K128" s="66"/>
      <c r="L128" s="66"/>
      <c r="M128" s="66"/>
      <c r="N128" s="66"/>
      <c r="O128" s="66"/>
    </row>
    <row r="129" spans="1:15" x14ac:dyDescent="0.2">
      <c r="A129" s="68" t="s">
        <v>438</v>
      </c>
      <c r="B129" s="67" t="s">
        <v>439</v>
      </c>
      <c r="C129" s="64">
        <v>3450</v>
      </c>
      <c r="D129" s="175"/>
      <c r="E129" s="175"/>
      <c r="F129" s="173">
        <v>1769.59</v>
      </c>
      <c r="G129" s="173">
        <f t="shared" si="1"/>
        <v>51.292463768115937</v>
      </c>
      <c r="H129" s="177"/>
      <c r="I129" s="66"/>
      <c r="J129" s="66"/>
      <c r="K129" s="66"/>
      <c r="L129" s="66"/>
      <c r="M129" s="66"/>
      <c r="N129" s="66"/>
      <c r="O129" s="66"/>
    </row>
    <row r="130" spans="1:15" x14ac:dyDescent="0.2">
      <c r="A130" s="68" t="s">
        <v>243</v>
      </c>
      <c r="B130" s="67" t="s">
        <v>244</v>
      </c>
      <c r="C130" s="64">
        <v>0</v>
      </c>
      <c r="D130" s="175"/>
      <c r="E130" s="175"/>
      <c r="F130" s="173">
        <v>0</v>
      </c>
      <c r="G130" s="173" t="e">
        <f t="shared" si="1"/>
        <v>#DIV/0!</v>
      </c>
      <c r="H130" s="177"/>
      <c r="I130" s="66"/>
      <c r="J130" s="66"/>
      <c r="K130" s="66"/>
      <c r="L130" s="66"/>
      <c r="M130" s="66"/>
      <c r="N130" s="66"/>
      <c r="O130" s="66"/>
    </row>
    <row r="131" spans="1:15" x14ac:dyDescent="0.2">
      <c r="A131" s="68" t="s">
        <v>440</v>
      </c>
      <c r="B131" s="67" t="s">
        <v>441</v>
      </c>
      <c r="C131" s="64">
        <v>0</v>
      </c>
      <c r="D131" s="175"/>
      <c r="E131" s="175"/>
      <c r="F131" s="173">
        <v>0</v>
      </c>
      <c r="G131" s="173" t="e">
        <f t="shared" si="1"/>
        <v>#DIV/0!</v>
      </c>
      <c r="H131" s="177"/>
      <c r="I131" s="66"/>
      <c r="J131" s="66"/>
      <c r="K131" s="66"/>
      <c r="L131" s="66"/>
      <c r="M131" s="66"/>
      <c r="N131" s="66"/>
      <c r="O131" s="66"/>
    </row>
    <row r="132" spans="1:15" x14ac:dyDescent="0.2">
      <c r="A132" s="68" t="s">
        <v>442</v>
      </c>
      <c r="B132" s="67" t="s">
        <v>360</v>
      </c>
      <c r="C132" s="64">
        <v>0</v>
      </c>
      <c r="D132" s="175"/>
      <c r="E132" s="175"/>
      <c r="F132" s="173">
        <v>0</v>
      </c>
      <c r="G132" s="173" t="e">
        <f t="shared" si="1"/>
        <v>#DIV/0!</v>
      </c>
      <c r="H132" s="177"/>
      <c r="I132" s="66"/>
      <c r="J132" s="66"/>
      <c r="K132" s="66"/>
      <c r="L132" s="66"/>
      <c r="M132" s="66"/>
      <c r="N132" s="66"/>
      <c r="O132" s="66"/>
    </row>
    <row r="133" spans="1:15" x14ac:dyDescent="0.2">
      <c r="A133" s="68" t="s">
        <v>443</v>
      </c>
      <c r="B133" s="67" t="s">
        <v>362</v>
      </c>
      <c r="C133" s="64">
        <v>373.5</v>
      </c>
      <c r="D133" s="175"/>
      <c r="E133" s="175"/>
      <c r="F133" s="173">
        <v>0</v>
      </c>
      <c r="G133" s="173">
        <f t="shared" si="1"/>
        <v>0</v>
      </c>
      <c r="H133" s="177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8" t="s">
        <v>444</v>
      </c>
      <c r="B134" s="179" t="s">
        <v>445</v>
      </c>
      <c r="C134" s="177">
        <f>+C135+C136</f>
        <v>0</v>
      </c>
      <c r="D134" s="175"/>
      <c r="E134" s="175"/>
      <c r="F134" s="177">
        <f>+F135+F136</f>
        <v>0</v>
      </c>
      <c r="G134" s="177" t="e">
        <f t="shared" si="1"/>
        <v>#DIV/0!</v>
      </c>
      <c r="H134" s="177"/>
      <c r="I134" s="168"/>
      <c r="J134" s="168"/>
      <c r="K134" s="168"/>
      <c r="L134" s="168"/>
      <c r="M134" s="168"/>
      <c r="N134" s="168"/>
      <c r="O134" s="168"/>
    </row>
    <row r="135" spans="1:15" x14ac:dyDescent="0.2">
      <c r="A135" s="68" t="s">
        <v>446</v>
      </c>
      <c r="B135" s="67" t="s">
        <v>366</v>
      </c>
      <c r="C135" s="64">
        <v>0</v>
      </c>
      <c r="D135" s="175"/>
      <c r="E135" s="175"/>
      <c r="F135" s="173">
        <v>0</v>
      </c>
      <c r="G135" s="173" t="e">
        <f t="shared" si="1"/>
        <v>#DIV/0!</v>
      </c>
      <c r="H135" s="177"/>
      <c r="I135" s="66"/>
      <c r="J135" s="66"/>
      <c r="K135" s="66"/>
      <c r="L135" s="66"/>
      <c r="M135" s="66"/>
      <c r="N135" s="66"/>
      <c r="O135" s="66"/>
    </row>
    <row r="136" spans="1:15" x14ac:dyDescent="0.2">
      <c r="A136" s="68" t="s">
        <v>447</v>
      </c>
      <c r="B136" s="67" t="s">
        <v>368</v>
      </c>
      <c r="C136" s="64">
        <v>0</v>
      </c>
      <c r="D136" s="175"/>
      <c r="E136" s="175"/>
      <c r="F136" s="173">
        <v>0</v>
      </c>
      <c r="G136" s="173" t="e">
        <f t="shared" si="1"/>
        <v>#DIV/0!</v>
      </c>
      <c r="H136" s="177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8" t="s">
        <v>448</v>
      </c>
      <c r="B137" s="179" t="s">
        <v>449</v>
      </c>
      <c r="C137" s="177">
        <f>+C138+C139+C140</f>
        <v>32.6</v>
      </c>
      <c r="D137" s="175"/>
      <c r="E137" s="175"/>
      <c r="F137" s="177">
        <f>+F138+F139+F140</f>
        <v>423.51</v>
      </c>
      <c r="G137" s="177">
        <f t="shared" ref="G137:G157" si="2">+F137/C137*100</f>
        <v>1299.1104294478528</v>
      </c>
      <c r="H137" s="177"/>
      <c r="I137" s="168"/>
      <c r="J137" s="168"/>
      <c r="K137" s="168"/>
      <c r="L137" s="168"/>
      <c r="M137" s="168"/>
      <c r="N137" s="168"/>
      <c r="O137" s="168"/>
    </row>
    <row r="138" spans="1:15" x14ac:dyDescent="0.2">
      <c r="A138" s="68" t="s">
        <v>450</v>
      </c>
      <c r="B138" s="67" t="s">
        <v>451</v>
      </c>
      <c r="C138" s="64">
        <v>32.6</v>
      </c>
      <c r="D138" s="175"/>
      <c r="E138" s="175"/>
      <c r="F138" s="173">
        <v>423.51</v>
      </c>
      <c r="G138" s="173">
        <f t="shared" si="2"/>
        <v>1299.1104294478528</v>
      </c>
      <c r="H138" s="177"/>
      <c r="I138" s="66"/>
      <c r="J138" s="66"/>
      <c r="K138" s="66"/>
      <c r="L138" s="66"/>
      <c r="M138" s="66"/>
      <c r="N138" s="66"/>
      <c r="O138" s="66"/>
    </row>
    <row r="139" spans="1:15" x14ac:dyDescent="0.2">
      <c r="A139" s="68" t="s">
        <v>452</v>
      </c>
      <c r="B139" s="67" t="s">
        <v>453</v>
      </c>
      <c r="C139" s="64">
        <v>0</v>
      </c>
      <c r="D139" s="175"/>
      <c r="E139" s="175"/>
      <c r="F139" s="173">
        <v>0</v>
      </c>
      <c r="G139" s="173" t="e">
        <f t="shared" si="2"/>
        <v>#DIV/0!</v>
      </c>
      <c r="H139" s="177"/>
      <c r="I139" s="66"/>
      <c r="J139" s="66"/>
      <c r="K139" s="66"/>
      <c r="L139" s="66"/>
      <c r="M139" s="66"/>
      <c r="N139" s="66"/>
      <c r="O139" s="66"/>
    </row>
    <row r="140" spans="1:15" x14ac:dyDescent="0.2">
      <c r="A140" s="68" t="s">
        <v>454</v>
      </c>
      <c r="B140" s="67" t="s">
        <v>455</v>
      </c>
      <c r="C140" s="64">
        <v>0</v>
      </c>
      <c r="D140" s="175"/>
      <c r="E140" s="175"/>
      <c r="F140" s="173">
        <v>0</v>
      </c>
      <c r="G140" s="173" t="e">
        <f t="shared" si="2"/>
        <v>#DIV/0!</v>
      </c>
      <c r="H140" s="177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8" t="s">
        <v>456</v>
      </c>
      <c r="B141" s="179" t="s">
        <v>457</v>
      </c>
      <c r="C141" s="177">
        <f>+C142+C143</f>
        <v>0</v>
      </c>
      <c r="D141" s="175"/>
      <c r="E141" s="175"/>
      <c r="F141" s="177">
        <f>+F142+F143</f>
        <v>0</v>
      </c>
      <c r="G141" s="177" t="e">
        <f t="shared" si="2"/>
        <v>#DIV/0!</v>
      </c>
      <c r="H141" s="177"/>
      <c r="I141" s="168"/>
      <c r="J141" s="168"/>
      <c r="K141" s="168"/>
      <c r="L141" s="168"/>
      <c r="M141" s="168"/>
      <c r="N141" s="168"/>
      <c r="O141" s="168"/>
    </row>
    <row r="142" spans="1:15" x14ac:dyDescent="0.2">
      <c r="A142" s="68" t="s">
        <v>458</v>
      </c>
      <c r="B142" s="67" t="s">
        <v>459</v>
      </c>
      <c r="C142" s="64">
        <v>0</v>
      </c>
      <c r="D142" s="175"/>
      <c r="E142" s="175"/>
      <c r="F142" s="64">
        <v>0</v>
      </c>
      <c r="G142" s="173" t="e">
        <f t="shared" si="2"/>
        <v>#DIV/0!</v>
      </c>
      <c r="H142" s="177"/>
      <c r="I142" s="66"/>
      <c r="J142" s="66"/>
      <c r="K142" s="66"/>
      <c r="L142" s="66"/>
      <c r="M142" s="66"/>
      <c r="N142" s="66"/>
      <c r="O142" s="66"/>
    </row>
    <row r="143" spans="1:15" x14ac:dyDescent="0.2">
      <c r="A143" s="68" t="s">
        <v>460</v>
      </c>
      <c r="B143" s="67" t="s">
        <v>372</v>
      </c>
      <c r="C143" s="64">
        <v>0</v>
      </c>
      <c r="D143" s="175"/>
      <c r="E143" s="175"/>
      <c r="F143" s="64">
        <v>0</v>
      </c>
      <c r="G143" s="173" t="e">
        <f t="shared" si="2"/>
        <v>#DIV/0!</v>
      </c>
      <c r="H143" s="177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8" t="s">
        <v>245</v>
      </c>
      <c r="B144" s="179" t="s">
        <v>246</v>
      </c>
      <c r="C144" s="177">
        <f>+C145+C146+C147</f>
        <v>9353.16</v>
      </c>
      <c r="D144" s="175"/>
      <c r="E144" s="175"/>
      <c r="F144" s="177">
        <f>+F145+F146+F147</f>
        <v>1796.71</v>
      </c>
      <c r="G144" s="177">
        <f t="shared" si="2"/>
        <v>19.209657484743126</v>
      </c>
      <c r="H144" s="177"/>
      <c r="I144" s="168"/>
      <c r="J144" s="168"/>
      <c r="K144" s="168"/>
      <c r="L144" s="168"/>
      <c r="M144" s="168"/>
      <c r="N144" s="168"/>
      <c r="O144" s="168"/>
    </row>
    <row r="145" spans="1:15" x14ac:dyDescent="0.2">
      <c r="A145" s="68" t="s">
        <v>247</v>
      </c>
      <c r="B145" s="67" t="s">
        <v>248</v>
      </c>
      <c r="C145" s="64">
        <v>9353.16</v>
      </c>
      <c r="D145" s="175"/>
      <c r="E145" s="175"/>
      <c r="F145" s="173">
        <v>1796.71</v>
      </c>
      <c r="G145" s="173">
        <f t="shared" si="2"/>
        <v>19.209657484743126</v>
      </c>
      <c r="H145" s="177"/>
      <c r="I145" s="66"/>
      <c r="J145" s="66"/>
      <c r="K145" s="66"/>
      <c r="L145" s="66"/>
      <c r="M145" s="66"/>
      <c r="N145" s="66"/>
      <c r="O145" s="66"/>
    </row>
    <row r="146" spans="1:15" x14ac:dyDescent="0.2">
      <c r="A146" s="68" t="s">
        <v>461</v>
      </c>
      <c r="B146" s="67" t="s">
        <v>462</v>
      </c>
      <c r="C146" s="64">
        <v>0</v>
      </c>
      <c r="D146" s="175"/>
      <c r="E146" s="175"/>
      <c r="F146" s="173">
        <v>0</v>
      </c>
      <c r="G146" s="173" t="e">
        <f t="shared" si="2"/>
        <v>#DIV/0!</v>
      </c>
      <c r="H146" s="177"/>
      <c r="I146" s="66"/>
      <c r="J146" s="66"/>
      <c r="K146" s="66"/>
      <c r="L146" s="66"/>
      <c r="M146" s="66"/>
      <c r="N146" s="66"/>
      <c r="O146" s="66"/>
    </row>
    <row r="147" spans="1:15" x14ac:dyDescent="0.2">
      <c r="A147" s="68" t="s">
        <v>463</v>
      </c>
      <c r="B147" s="67" t="s">
        <v>464</v>
      </c>
      <c r="C147" s="64">
        <v>0</v>
      </c>
      <c r="D147" s="175"/>
      <c r="E147" s="175"/>
      <c r="F147" s="173">
        <v>0</v>
      </c>
      <c r="G147" s="173" t="e">
        <f t="shared" si="2"/>
        <v>#DIV/0!</v>
      </c>
      <c r="H147" s="177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0" t="s">
        <v>60</v>
      </c>
      <c r="B148" s="181" t="s">
        <v>465</v>
      </c>
      <c r="C148" s="177">
        <f>+C149</f>
        <v>0</v>
      </c>
      <c r="D148" s="160">
        <v>0</v>
      </c>
      <c r="E148" s="160">
        <v>0</v>
      </c>
      <c r="F148" s="177">
        <f>+F149</f>
        <v>0</v>
      </c>
      <c r="G148" s="177" t="e">
        <f t="shared" si="2"/>
        <v>#DIV/0!</v>
      </c>
      <c r="H148" s="177" t="e">
        <f>+F148/D148*100</f>
        <v>#DIV/0!</v>
      </c>
      <c r="I148" s="168"/>
      <c r="J148" s="168"/>
      <c r="K148" s="168"/>
      <c r="L148" s="168"/>
      <c r="M148" s="168"/>
      <c r="N148" s="168"/>
      <c r="O148" s="168"/>
    </row>
    <row r="149" spans="1:15" x14ac:dyDescent="0.2">
      <c r="A149" s="178" t="s">
        <v>466</v>
      </c>
      <c r="B149" s="179" t="s">
        <v>467</v>
      </c>
      <c r="C149" s="177">
        <f>+C150</f>
        <v>0</v>
      </c>
      <c r="D149" s="175"/>
      <c r="E149" s="175"/>
      <c r="F149" s="177">
        <f>+F150</f>
        <v>0</v>
      </c>
      <c r="G149" s="177" t="e">
        <f t="shared" si="2"/>
        <v>#DIV/0!</v>
      </c>
      <c r="H149" s="177"/>
      <c r="I149" s="168"/>
      <c r="J149" s="168"/>
      <c r="K149" s="168"/>
      <c r="L149" s="168"/>
      <c r="M149" s="168"/>
      <c r="N149" s="168"/>
      <c r="O149" s="168"/>
    </row>
    <row r="150" spans="1:15" x14ac:dyDescent="0.2">
      <c r="A150" s="68" t="s">
        <v>468</v>
      </c>
      <c r="B150" s="67" t="s">
        <v>469</v>
      </c>
      <c r="C150" s="173">
        <v>0</v>
      </c>
      <c r="D150" s="175"/>
      <c r="E150" s="175"/>
      <c r="F150" s="173">
        <v>0</v>
      </c>
      <c r="G150" s="173" t="e">
        <f t="shared" si="2"/>
        <v>#DIV/0!</v>
      </c>
      <c r="H150" s="177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0" t="s">
        <v>470</v>
      </c>
      <c r="B151" s="181" t="s">
        <v>471</v>
      </c>
      <c r="C151" s="177">
        <f>+C152</f>
        <v>0</v>
      </c>
      <c r="D151" s="160">
        <v>0</v>
      </c>
      <c r="E151" s="160">
        <v>0</v>
      </c>
      <c r="F151" s="177">
        <f>+F152</f>
        <v>0</v>
      </c>
      <c r="G151" s="177" t="e">
        <f t="shared" si="2"/>
        <v>#DIV/0!</v>
      </c>
      <c r="H151" s="177" t="e">
        <f>+F151/D151*100</f>
        <v>#DIV/0!</v>
      </c>
      <c r="I151" s="168"/>
      <c r="J151" s="168"/>
      <c r="K151" s="168"/>
      <c r="L151" s="168"/>
      <c r="M151" s="168"/>
      <c r="N151" s="168"/>
      <c r="O151" s="168"/>
    </row>
    <row r="152" spans="1:15" x14ac:dyDescent="0.2">
      <c r="A152" s="178" t="s">
        <v>472</v>
      </c>
      <c r="B152" s="179" t="s">
        <v>473</v>
      </c>
      <c r="C152" s="177">
        <f>+C153</f>
        <v>0</v>
      </c>
      <c r="D152" s="175"/>
      <c r="E152" s="175"/>
      <c r="F152" s="177">
        <f>+F153</f>
        <v>0</v>
      </c>
      <c r="G152" s="177" t="e">
        <f t="shared" si="2"/>
        <v>#DIV/0!</v>
      </c>
      <c r="H152" s="177"/>
      <c r="I152" s="168"/>
      <c r="J152" s="168"/>
      <c r="K152" s="168"/>
      <c r="L152" s="168"/>
      <c r="M152" s="168"/>
      <c r="N152" s="168"/>
      <c r="O152" s="168"/>
    </row>
    <row r="153" spans="1:15" x14ac:dyDescent="0.2">
      <c r="A153" s="68" t="s">
        <v>474</v>
      </c>
      <c r="B153" s="67" t="s">
        <v>475</v>
      </c>
      <c r="C153" s="64">
        <v>0</v>
      </c>
      <c r="D153" s="175"/>
      <c r="E153" s="175"/>
      <c r="F153" s="64">
        <v>0</v>
      </c>
      <c r="G153" s="173" t="e">
        <f t="shared" si="2"/>
        <v>#DIV/0!</v>
      </c>
      <c r="H153" s="177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0" t="s">
        <v>249</v>
      </c>
      <c r="B154" s="181" t="s">
        <v>250</v>
      </c>
      <c r="C154" s="177">
        <f>+C155+C157+C159+C161</f>
        <v>0</v>
      </c>
      <c r="D154" s="160">
        <v>6250</v>
      </c>
      <c r="E154" s="160">
        <v>6250</v>
      </c>
      <c r="F154" s="177">
        <f>+F155+F157+F159+F161</f>
        <v>0</v>
      </c>
      <c r="G154" s="177" t="e">
        <f t="shared" si="2"/>
        <v>#DIV/0!</v>
      </c>
      <c r="H154" s="177">
        <f>+F154/D154*100</f>
        <v>0</v>
      </c>
      <c r="I154" s="168"/>
      <c r="J154" s="168"/>
      <c r="K154" s="168"/>
      <c r="L154" s="168"/>
      <c r="M154" s="168"/>
      <c r="N154" s="168"/>
      <c r="O154" s="168"/>
    </row>
    <row r="155" spans="1:15" x14ac:dyDescent="0.2">
      <c r="A155" s="178" t="s">
        <v>251</v>
      </c>
      <c r="B155" s="179" t="s">
        <v>252</v>
      </c>
      <c r="C155" s="177">
        <f>+C156</f>
        <v>0</v>
      </c>
      <c r="D155" s="175"/>
      <c r="E155" s="175"/>
      <c r="F155" s="177">
        <f>+F156</f>
        <v>0</v>
      </c>
      <c r="G155" s="177" t="e">
        <f t="shared" si="2"/>
        <v>#DIV/0!</v>
      </c>
      <c r="H155" s="177"/>
      <c r="I155" s="168"/>
      <c r="J155" s="168"/>
      <c r="K155" s="168"/>
      <c r="L155" s="168"/>
      <c r="M155" s="168"/>
      <c r="N155" s="168"/>
      <c r="O155" s="168"/>
    </row>
    <row r="156" spans="1:15" x14ac:dyDescent="0.2">
      <c r="A156" s="68" t="s">
        <v>253</v>
      </c>
      <c r="B156" s="67" t="s">
        <v>252</v>
      </c>
      <c r="C156" s="64">
        <v>0</v>
      </c>
      <c r="D156" s="175"/>
      <c r="E156" s="175"/>
      <c r="F156" s="64">
        <v>0</v>
      </c>
      <c r="G156" s="173" t="e">
        <f t="shared" si="2"/>
        <v>#DIV/0!</v>
      </c>
      <c r="H156" s="177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8" t="s">
        <v>476</v>
      </c>
      <c r="B157" s="179" t="s">
        <v>477</v>
      </c>
      <c r="C157" s="177">
        <f>+C158</f>
        <v>0</v>
      </c>
      <c r="D157" s="175"/>
      <c r="E157" s="175"/>
      <c r="F157" s="177">
        <f>+F158</f>
        <v>0</v>
      </c>
      <c r="G157" s="177" t="e">
        <f t="shared" si="2"/>
        <v>#DIV/0!</v>
      </c>
      <c r="H157" s="177"/>
      <c r="I157" s="168"/>
      <c r="J157" s="168"/>
      <c r="K157" s="168"/>
      <c r="L157" s="168"/>
      <c r="M157" s="168"/>
      <c r="N157" s="168"/>
      <c r="O157" s="168"/>
    </row>
    <row r="158" spans="1:15" x14ac:dyDescent="0.2">
      <c r="A158" s="68" t="s">
        <v>478</v>
      </c>
      <c r="B158" s="67" t="s">
        <v>477</v>
      </c>
      <c r="C158" s="64">
        <v>0</v>
      </c>
      <c r="D158" s="175"/>
      <c r="E158" s="175"/>
      <c r="F158" s="64">
        <v>0</v>
      </c>
      <c r="G158" s="173" t="e">
        <f>+F158/C158*100</f>
        <v>#DIV/0!</v>
      </c>
      <c r="H158" s="177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8" t="s">
        <v>479</v>
      </c>
      <c r="B159" s="179" t="s">
        <v>480</v>
      </c>
      <c r="C159" s="177">
        <f>+C160</f>
        <v>0</v>
      </c>
      <c r="D159" s="175"/>
      <c r="E159" s="175"/>
      <c r="F159" s="177">
        <f>+F160</f>
        <v>0</v>
      </c>
      <c r="G159" s="177" t="e">
        <f>+F159/C159*100</f>
        <v>#DIV/0!</v>
      </c>
      <c r="H159" s="177"/>
      <c r="I159" s="168"/>
      <c r="J159" s="168"/>
      <c r="K159" s="168"/>
      <c r="L159" s="168"/>
      <c r="M159" s="168"/>
      <c r="N159" s="168"/>
      <c r="O159" s="168"/>
    </row>
    <row r="160" spans="1:15" x14ac:dyDescent="0.2">
      <c r="A160" s="68" t="s">
        <v>481</v>
      </c>
      <c r="B160" s="67" t="s">
        <v>480</v>
      </c>
      <c r="C160" s="64">
        <v>0</v>
      </c>
      <c r="D160" s="175"/>
      <c r="E160" s="175"/>
      <c r="F160" s="64">
        <v>0</v>
      </c>
      <c r="G160" s="173" t="e">
        <f>+F160/C160*100</f>
        <v>#DIV/0!</v>
      </c>
      <c r="H160" s="177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8" t="s">
        <v>482</v>
      </c>
      <c r="B161" s="179" t="s">
        <v>483</v>
      </c>
      <c r="C161" s="177">
        <f>+C162</f>
        <v>0</v>
      </c>
      <c r="D161" s="175"/>
      <c r="E161" s="175"/>
      <c r="F161" s="177">
        <f>+F162</f>
        <v>0</v>
      </c>
      <c r="G161" s="177" t="e">
        <f>+F161/C161*100</f>
        <v>#DIV/0!</v>
      </c>
      <c r="H161" s="177"/>
      <c r="I161" s="168"/>
      <c r="J161" s="168"/>
      <c r="K161" s="168"/>
      <c r="L161" s="168"/>
      <c r="M161" s="168"/>
      <c r="N161" s="168"/>
      <c r="O161" s="168"/>
    </row>
    <row r="162" spans="1:15" x14ac:dyDescent="0.2">
      <c r="A162" s="68" t="s">
        <v>484</v>
      </c>
      <c r="B162" s="67" t="s">
        <v>483</v>
      </c>
      <c r="C162" s="64">
        <v>0</v>
      </c>
      <c r="D162" s="175"/>
      <c r="E162" s="175"/>
      <c r="F162" s="64">
        <v>0</v>
      </c>
      <c r="G162" s="173" t="e">
        <f>+F162/C162*100</f>
        <v>#DIV/0!</v>
      </c>
      <c r="H162" s="177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8"/>
    </row>
    <row r="166" spans="1:15" x14ac:dyDescent="0.2">
      <c r="A166" s="32" t="s">
        <v>544</v>
      </c>
    </row>
    <row r="167" spans="1:15" x14ac:dyDescent="0.2">
      <c r="A167" s="32" t="s">
        <v>538</v>
      </c>
    </row>
    <row r="168" spans="1:15" x14ac:dyDescent="0.2">
      <c r="A168" s="32" t="s">
        <v>539</v>
      </c>
    </row>
    <row r="169" spans="1:15" x14ac:dyDescent="0.2">
      <c r="A169" s="32" t="s">
        <v>540</v>
      </c>
    </row>
    <row r="170" spans="1:15" x14ac:dyDescent="0.2">
      <c r="A170" s="32" t="s">
        <v>541</v>
      </c>
    </row>
    <row r="171" spans="1:15" x14ac:dyDescent="0.2">
      <c r="A171" s="32" t="s">
        <v>542</v>
      </c>
    </row>
    <row r="172" spans="1:15" x14ac:dyDescent="0.2">
      <c r="A172" s="32" t="s">
        <v>543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D27" sqref="D2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71"/>
      <c r="M1" s="71"/>
      <c r="N1" s="71"/>
      <c r="O1" s="71"/>
    </row>
    <row r="2" spans="1:15" ht="15.75" hidden="1" customHeight="1" x14ac:dyDescent="0.2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71"/>
      <c r="M2" s="71"/>
      <c r="N2" s="71"/>
      <c r="O2" s="71"/>
    </row>
    <row r="3" spans="1:15" ht="18" hidden="1" customHeight="1" x14ac:dyDescent="0.2">
      <c r="A3" s="82"/>
      <c r="B3" s="82"/>
      <c r="C3" s="82"/>
      <c r="D3" s="82"/>
      <c r="E3" s="82"/>
      <c r="F3" s="82"/>
      <c r="G3" s="82"/>
      <c r="H3" s="82"/>
      <c r="I3" s="83"/>
      <c r="J3" s="83"/>
      <c r="K3" s="83"/>
      <c r="L3" s="71"/>
      <c r="M3" s="71"/>
      <c r="N3" s="71"/>
      <c r="O3" s="71"/>
    </row>
    <row r="4" spans="1:15" ht="18" x14ac:dyDescent="0.2">
      <c r="A4" s="82"/>
      <c r="B4" s="82"/>
      <c r="C4" s="82"/>
      <c r="D4" s="82"/>
      <c r="E4" s="82"/>
      <c r="F4" s="82"/>
      <c r="G4" s="82"/>
      <c r="H4" s="82"/>
      <c r="I4" s="83"/>
      <c r="J4" s="83"/>
      <c r="K4" s="83"/>
      <c r="L4" s="71"/>
      <c r="M4" s="71"/>
      <c r="N4" s="71"/>
      <c r="O4" s="71"/>
    </row>
    <row r="5" spans="1:15" ht="15.75" customHeight="1" x14ac:dyDescent="0.2">
      <c r="A5" s="393" t="s">
        <v>53</v>
      </c>
      <c r="B5" s="393"/>
      <c r="C5" s="393"/>
      <c r="D5" s="393"/>
      <c r="E5" s="393"/>
      <c r="F5" s="393"/>
      <c r="G5" s="393"/>
      <c r="H5" s="393"/>
      <c r="I5" s="38"/>
      <c r="J5" s="38"/>
      <c r="K5" s="38"/>
      <c r="L5" s="71"/>
      <c r="M5" s="71"/>
      <c r="N5" s="71"/>
      <c r="O5" s="71"/>
    </row>
    <row r="6" spans="1:15" ht="18" x14ac:dyDescent="0.2">
      <c r="A6" s="82"/>
      <c r="B6" s="82"/>
      <c r="C6" s="82"/>
      <c r="D6" s="82"/>
      <c r="E6" s="82"/>
      <c r="F6" s="82"/>
      <c r="G6" s="82"/>
      <c r="H6" s="82"/>
      <c r="I6" s="83"/>
      <c r="J6" s="83"/>
      <c r="K6" s="83"/>
      <c r="L6" s="71"/>
      <c r="M6" s="71"/>
      <c r="N6" s="71"/>
      <c r="O6" s="71"/>
    </row>
    <row r="7" spans="1:15" s="33" customFormat="1" ht="57" x14ac:dyDescent="0.25">
      <c r="A7" s="392" t="s">
        <v>3</v>
      </c>
      <c r="B7" s="392"/>
      <c r="C7" s="161" t="s">
        <v>562</v>
      </c>
      <c r="D7" s="161" t="s">
        <v>563</v>
      </c>
      <c r="E7" s="161" t="s">
        <v>564</v>
      </c>
      <c r="F7" s="161" t="s">
        <v>565</v>
      </c>
      <c r="G7" s="85" t="s">
        <v>260</v>
      </c>
      <c r="H7" s="85" t="s">
        <v>261</v>
      </c>
      <c r="I7" s="72"/>
      <c r="J7" s="72"/>
      <c r="K7" s="72"/>
      <c r="L7" s="72"/>
      <c r="M7" s="72"/>
      <c r="N7" s="72"/>
      <c r="O7" s="72"/>
    </row>
    <row r="8" spans="1:15" s="34" customFormat="1" ht="12.75" customHeight="1" x14ac:dyDescent="0.2">
      <c r="A8" s="391">
        <v>1</v>
      </c>
      <c r="B8" s="391"/>
      <c r="C8" s="86">
        <v>2</v>
      </c>
      <c r="D8" s="86">
        <v>3</v>
      </c>
      <c r="E8" s="86">
        <v>4.3333333333333304</v>
      </c>
      <c r="F8" s="86">
        <v>5.0833333333333304</v>
      </c>
      <c r="G8" s="86">
        <v>6</v>
      </c>
      <c r="H8" s="86">
        <v>7</v>
      </c>
      <c r="I8" s="75"/>
      <c r="J8" s="75"/>
      <c r="K8" s="75"/>
      <c r="L8" s="75"/>
      <c r="M8" s="73"/>
      <c r="N8" s="73"/>
      <c r="O8" s="73"/>
    </row>
    <row r="9" spans="1:15" ht="15" customHeight="1" x14ac:dyDescent="0.2">
      <c r="A9" s="77" t="s">
        <v>27</v>
      </c>
      <c r="B9" s="77" t="s">
        <v>26</v>
      </c>
      <c r="C9" s="81" t="s">
        <v>28</v>
      </c>
      <c r="D9" s="81" t="s">
        <v>28</v>
      </c>
      <c r="E9" s="81" t="s">
        <v>28</v>
      </c>
      <c r="F9" s="81" t="s">
        <v>28</v>
      </c>
      <c r="G9" s="81" t="s">
        <v>26</v>
      </c>
      <c r="H9" s="81" t="s">
        <v>26</v>
      </c>
      <c r="I9" s="76"/>
      <c r="J9" s="76"/>
      <c r="K9" s="76"/>
      <c r="L9" s="76"/>
      <c r="M9" s="74"/>
      <c r="N9" s="74"/>
      <c r="O9" s="74"/>
    </row>
    <row r="10" spans="1:15" x14ac:dyDescent="0.2">
      <c r="A10" s="186" t="s">
        <v>29</v>
      </c>
      <c r="B10" s="186" t="s">
        <v>26</v>
      </c>
      <c r="C10" s="187">
        <f>+C11+C13+C15+C17+C23+C25</f>
        <v>2500038.6100000003</v>
      </c>
      <c r="D10" s="188">
        <f>+D11+D13+D15+D17+D23+D25</f>
        <v>5244244</v>
      </c>
      <c r="E10" s="188">
        <f>+E11+E13+E15+E17+E23+E25</f>
        <v>5244244</v>
      </c>
      <c r="F10" s="187">
        <f>+F11+F13+F15+F17+F23+F25</f>
        <v>2813065.86</v>
      </c>
      <c r="G10" s="187">
        <f>+F10/C10*100</f>
        <v>112.52089662727246</v>
      </c>
      <c r="H10" s="187">
        <f>+F10/E10*100</f>
        <v>53.64101784737705</v>
      </c>
      <c r="I10" s="79"/>
      <c r="J10" s="79"/>
      <c r="K10" s="79"/>
      <c r="L10" s="79"/>
      <c r="M10" s="78"/>
      <c r="N10" s="78"/>
      <c r="O10" s="78"/>
    </row>
    <row r="11" spans="1:15" x14ac:dyDescent="0.2">
      <c r="A11" s="182" t="s">
        <v>54</v>
      </c>
      <c r="B11" s="183" t="s">
        <v>55</v>
      </c>
      <c r="C11" s="184">
        <f>+C12</f>
        <v>1857137.73</v>
      </c>
      <c r="D11" s="185">
        <f t="shared" ref="D11" si="0">+D12</f>
        <v>4113869</v>
      </c>
      <c r="E11" s="185">
        <f t="shared" ref="E11" si="1">+E12</f>
        <v>4113869</v>
      </c>
      <c r="F11" s="184">
        <f t="shared" ref="F11" si="2">+F12</f>
        <v>2149397.9</v>
      </c>
      <c r="G11" s="184">
        <f t="shared" ref="G11:G46" si="3">+F11/C11*100</f>
        <v>115.73712952350603</v>
      </c>
      <c r="H11" s="184">
        <f t="shared" ref="H11:H46" si="4">+F11/E11*100</f>
        <v>52.247601953295067</v>
      </c>
      <c r="I11" s="79"/>
      <c r="J11" s="79"/>
      <c r="K11" s="79"/>
      <c r="L11" s="79"/>
      <c r="M11" s="78"/>
      <c r="N11" s="78"/>
      <c r="O11" s="78"/>
    </row>
    <row r="12" spans="1:15" x14ac:dyDescent="0.2">
      <c r="A12" s="91" t="s">
        <v>56</v>
      </c>
      <c r="B12" s="92" t="s">
        <v>55</v>
      </c>
      <c r="C12" s="90">
        <v>1857137.73</v>
      </c>
      <c r="D12" s="90">
        <v>4113869</v>
      </c>
      <c r="E12" s="90">
        <v>4113869</v>
      </c>
      <c r="F12" s="90">
        <v>2149397.9</v>
      </c>
      <c r="G12" s="173">
        <f t="shared" si="3"/>
        <v>115.73712952350603</v>
      </c>
      <c r="H12" s="173">
        <f t="shared" si="4"/>
        <v>52.247601953295067</v>
      </c>
      <c r="I12" s="87"/>
      <c r="J12" s="87"/>
      <c r="K12" s="87"/>
      <c r="L12" s="87"/>
      <c r="M12" s="87"/>
      <c r="N12" s="87"/>
      <c r="O12" s="87"/>
    </row>
    <row r="13" spans="1:15" x14ac:dyDescent="0.2">
      <c r="A13" s="182" t="s">
        <v>81</v>
      </c>
      <c r="B13" s="183" t="s">
        <v>485</v>
      </c>
      <c r="C13" s="184">
        <f>+C14</f>
        <v>264018.46999999997</v>
      </c>
      <c r="D13" s="185">
        <f t="shared" ref="D13" si="5">+D14</f>
        <v>534400</v>
      </c>
      <c r="E13" s="185">
        <f t="shared" ref="E13" si="6">+E14</f>
        <v>534400</v>
      </c>
      <c r="F13" s="184">
        <f t="shared" ref="F13" si="7">+F14</f>
        <v>316284.77</v>
      </c>
      <c r="G13" s="184">
        <f t="shared" si="3"/>
        <v>119.7964559070432</v>
      </c>
      <c r="H13" s="184">
        <f t="shared" si="4"/>
        <v>59.18502432634731</v>
      </c>
      <c r="I13" s="147"/>
      <c r="J13" s="147"/>
      <c r="K13" s="147"/>
      <c r="L13" s="147"/>
      <c r="M13" s="165"/>
      <c r="N13" s="165"/>
      <c r="O13" s="165"/>
    </row>
    <row r="14" spans="1:15" x14ac:dyDescent="0.2">
      <c r="A14" s="91" t="s">
        <v>83</v>
      </c>
      <c r="B14" s="92" t="s">
        <v>485</v>
      </c>
      <c r="C14" s="90">
        <v>264018.46999999997</v>
      </c>
      <c r="D14" s="93">
        <v>534400</v>
      </c>
      <c r="E14" s="93">
        <v>534400</v>
      </c>
      <c r="F14" s="90">
        <v>316284.77</v>
      </c>
      <c r="G14" s="173">
        <f t="shared" si="3"/>
        <v>119.7964559070432</v>
      </c>
      <c r="H14" s="173">
        <f t="shared" si="4"/>
        <v>59.18502432634731</v>
      </c>
      <c r="I14" s="87"/>
      <c r="J14" s="87"/>
      <c r="K14" s="87"/>
      <c r="L14" s="87"/>
      <c r="M14" s="87"/>
      <c r="N14" s="87"/>
      <c r="O14" s="87"/>
    </row>
    <row r="15" spans="1:15" x14ac:dyDescent="0.2">
      <c r="A15" s="182" t="s">
        <v>57</v>
      </c>
      <c r="B15" s="183" t="s">
        <v>58</v>
      </c>
      <c r="C15" s="184">
        <f>+C16</f>
        <v>274186.5</v>
      </c>
      <c r="D15" s="185">
        <f t="shared" ref="D15" si="8">+D16</f>
        <v>560559</v>
      </c>
      <c r="E15" s="185">
        <f t="shared" ref="E15" si="9">+E16</f>
        <v>560559</v>
      </c>
      <c r="F15" s="184">
        <f t="shared" ref="F15" si="10">+F16</f>
        <v>269520.5</v>
      </c>
      <c r="G15" s="184">
        <f t="shared" si="3"/>
        <v>98.298238607663038</v>
      </c>
      <c r="H15" s="184">
        <f t="shared" si="4"/>
        <v>48.080665906710976</v>
      </c>
      <c r="I15" s="147"/>
      <c r="J15" s="147"/>
      <c r="K15" s="147"/>
      <c r="L15" s="147"/>
      <c r="M15" s="165"/>
      <c r="N15" s="165"/>
      <c r="O15" s="165"/>
    </row>
    <row r="16" spans="1:15" x14ac:dyDescent="0.2">
      <c r="A16" s="91" t="s">
        <v>60</v>
      </c>
      <c r="B16" s="92" t="s">
        <v>61</v>
      </c>
      <c r="C16" s="90">
        <v>274186.5</v>
      </c>
      <c r="D16" s="93">
        <v>560559</v>
      </c>
      <c r="E16" s="93">
        <v>560559</v>
      </c>
      <c r="F16" s="90">
        <v>269520.5</v>
      </c>
      <c r="G16" s="173">
        <f t="shared" si="3"/>
        <v>98.298238607663038</v>
      </c>
      <c r="H16" s="173">
        <f t="shared" si="4"/>
        <v>48.080665906710976</v>
      </c>
      <c r="I16" s="87"/>
      <c r="J16" s="87"/>
      <c r="K16" s="87"/>
      <c r="L16" s="87"/>
      <c r="M16" s="87"/>
      <c r="N16" s="87"/>
      <c r="O16" s="87"/>
    </row>
    <row r="17" spans="1:15" x14ac:dyDescent="0.2">
      <c r="A17" s="182" t="s">
        <v>62</v>
      </c>
      <c r="B17" s="183" t="s">
        <v>63</v>
      </c>
      <c r="C17" s="184">
        <f>SUM(C18:C22)</f>
        <v>99195.91</v>
      </c>
      <c r="D17" s="185">
        <f>SUM(D18:D22)</f>
        <v>35416</v>
      </c>
      <c r="E17" s="185">
        <f>SUM(E18:E22)</f>
        <v>35416</v>
      </c>
      <c r="F17" s="184">
        <f>SUM(F18:F22)</f>
        <v>77862.69</v>
      </c>
      <c r="G17" s="184">
        <f t="shared" si="3"/>
        <v>78.493851208179848</v>
      </c>
      <c r="H17" s="184">
        <f t="shared" si="4"/>
        <v>219.85173367969279</v>
      </c>
      <c r="I17" s="147"/>
      <c r="J17" s="147"/>
      <c r="K17" s="147"/>
      <c r="L17" s="147"/>
      <c r="M17" s="165"/>
      <c r="N17" s="165"/>
      <c r="O17" s="165"/>
    </row>
    <row r="18" spans="1:15" x14ac:dyDescent="0.2">
      <c r="A18" s="91" t="s">
        <v>64</v>
      </c>
      <c r="B18" s="92" t="s">
        <v>65</v>
      </c>
      <c r="C18" s="90">
        <v>0</v>
      </c>
      <c r="D18" s="93">
        <v>0</v>
      </c>
      <c r="E18" s="93">
        <v>0</v>
      </c>
      <c r="F18" s="90">
        <v>0</v>
      </c>
      <c r="G18" s="173" t="e">
        <f t="shared" si="3"/>
        <v>#DIV/0!</v>
      </c>
      <c r="H18" s="173" t="e">
        <f t="shared" si="4"/>
        <v>#DIV/0!</v>
      </c>
      <c r="I18" s="87"/>
      <c r="J18" s="87"/>
      <c r="K18" s="87"/>
      <c r="L18" s="87"/>
      <c r="M18" s="87"/>
      <c r="N18" s="87"/>
      <c r="O18" s="87"/>
    </row>
    <row r="19" spans="1:15" x14ac:dyDescent="0.2">
      <c r="A19" s="91" t="s">
        <v>75</v>
      </c>
      <c r="B19" s="92" t="s">
        <v>76</v>
      </c>
      <c r="C19" s="90">
        <v>99195.91</v>
      </c>
      <c r="D19" s="93">
        <v>35416</v>
      </c>
      <c r="E19" s="93">
        <v>35416</v>
      </c>
      <c r="F19" s="90">
        <v>77862.69</v>
      </c>
      <c r="G19" s="173">
        <f t="shared" si="3"/>
        <v>78.493851208179848</v>
      </c>
      <c r="H19" s="173">
        <f t="shared" si="4"/>
        <v>219.85173367969279</v>
      </c>
      <c r="I19" s="87"/>
      <c r="J19" s="87"/>
      <c r="K19" s="87"/>
      <c r="L19" s="87"/>
      <c r="M19" s="87"/>
      <c r="N19" s="87"/>
      <c r="O19" s="87"/>
    </row>
    <row r="20" spans="1:15" x14ac:dyDescent="0.2">
      <c r="A20" s="91" t="s">
        <v>66</v>
      </c>
      <c r="B20" s="92" t="s">
        <v>67</v>
      </c>
      <c r="C20" s="90">
        <v>0</v>
      </c>
      <c r="D20" s="93">
        <v>0</v>
      </c>
      <c r="E20" s="93">
        <v>0</v>
      </c>
      <c r="F20" s="90">
        <v>0</v>
      </c>
      <c r="G20" s="173" t="e">
        <f t="shared" si="3"/>
        <v>#DIV/0!</v>
      </c>
      <c r="H20" s="173" t="e">
        <f t="shared" si="4"/>
        <v>#DIV/0!</v>
      </c>
      <c r="I20" s="87"/>
      <c r="J20" s="87"/>
      <c r="K20" s="87"/>
      <c r="L20" s="87"/>
      <c r="M20" s="87"/>
      <c r="N20" s="87"/>
      <c r="O20" s="87"/>
    </row>
    <row r="21" spans="1:15" x14ac:dyDescent="0.2">
      <c r="A21" s="91" t="s">
        <v>68</v>
      </c>
      <c r="B21" s="92" t="s">
        <v>69</v>
      </c>
      <c r="C21" s="90">
        <v>0</v>
      </c>
      <c r="D21" s="93">
        <v>0</v>
      </c>
      <c r="E21" s="93">
        <v>0</v>
      </c>
      <c r="F21" s="90">
        <v>0</v>
      </c>
      <c r="G21" s="173" t="e">
        <f t="shared" si="3"/>
        <v>#DIV/0!</v>
      </c>
      <c r="H21" s="173" t="e">
        <f t="shared" si="4"/>
        <v>#DIV/0!</v>
      </c>
      <c r="I21" s="87"/>
      <c r="J21" s="87"/>
      <c r="K21" s="87"/>
      <c r="L21" s="87"/>
      <c r="M21" s="87"/>
      <c r="N21" s="87"/>
      <c r="O21" s="87"/>
    </row>
    <row r="22" spans="1:15" x14ac:dyDescent="0.2">
      <c r="A22" s="91" t="s">
        <v>70</v>
      </c>
      <c r="B22" s="92" t="s">
        <v>71</v>
      </c>
      <c r="C22" s="90">
        <v>0</v>
      </c>
      <c r="D22" s="93">
        <v>0</v>
      </c>
      <c r="E22" s="93">
        <v>0</v>
      </c>
      <c r="F22" s="90">
        <v>0</v>
      </c>
      <c r="G22" s="173" t="e">
        <f t="shared" si="3"/>
        <v>#DIV/0!</v>
      </c>
      <c r="H22" s="173" t="e">
        <f t="shared" si="4"/>
        <v>#DIV/0!</v>
      </c>
      <c r="I22" s="87"/>
      <c r="J22" s="87"/>
      <c r="K22" s="87"/>
      <c r="L22" s="87"/>
      <c r="M22" s="87"/>
      <c r="N22" s="87"/>
      <c r="O22" s="87"/>
    </row>
    <row r="23" spans="1:15" x14ac:dyDescent="0.2">
      <c r="A23" s="182" t="s">
        <v>30</v>
      </c>
      <c r="B23" s="183" t="s">
        <v>486</v>
      </c>
      <c r="C23" s="184">
        <f>+C24</f>
        <v>5500</v>
      </c>
      <c r="D23" s="185">
        <f t="shared" ref="D23" si="11">+D24</f>
        <v>0</v>
      </c>
      <c r="E23" s="185">
        <f t="shared" ref="E23" si="12">+E24</f>
        <v>0</v>
      </c>
      <c r="F23" s="184">
        <f t="shared" ref="F23" si="13">+F24</f>
        <v>0</v>
      </c>
      <c r="G23" s="184">
        <f t="shared" si="3"/>
        <v>0</v>
      </c>
      <c r="H23" s="184" t="e">
        <f t="shared" si="4"/>
        <v>#DIV/0!</v>
      </c>
      <c r="I23" s="147"/>
      <c r="J23" s="147"/>
      <c r="K23" s="147"/>
      <c r="L23" s="147"/>
      <c r="M23" s="165"/>
      <c r="N23" s="165"/>
      <c r="O23" s="165"/>
    </row>
    <row r="24" spans="1:15" x14ac:dyDescent="0.2">
      <c r="A24" s="91" t="s">
        <v>32</v>
      </c>
      <c r="B24" s="92" t="s">
        <v>486</v>
      </c>
      <c r="C24" s="90">
        <v>5500</v>
      </c>
      <c r="D24" s="93">
        <v>0</v>
      </c>
      <c r="E24" s="93">
        <v>0</v>
      </c>
      <c r="F24" s="90">
        <v>0</v>
      </c>
      <c r="G24" s="173">
        <f t="shared" si="3"/>
        <v>0</v>
      </c>
      <c r="H24" s="173" t="e">
        <f t="shared" si="4"/>
        <v>#DIV/0!</v>
      </c>
      <c r="I24" s="87"/>
      <c r="J24" s="87"/>
      <c r="K24" s="87"/>
      <c r="L24" s="87"/>
      <c r="M24" s="87"/>
      <c r="N24" s="87"/>
      <c r="O24" s="87"/>
    </row>
    <row r="25" spans="1:15" x14ac:dyDescent="0.2">
      <c r="A25" s="182" t="s">
        <v>337</v>
      </c>
      <c r="B25" s="183" t="s">
        <v>487</v>
      </c>
      <c r="C25" s="184">
        <f>+C26</f>
        <v>0</v>
      </c>
      <c r="D25" s="185">
        <f t="shared" ref="D25" si="14">+D26</f>
        <v>0</v>
      </c>
      <c r="E25" s="185">
        <f t="shared" ref="E25" si="15">+E26</f>
        <v>0</v>
      </c>
      <c r="F25" s="184">
        <f t="shared" ref="F25" si="16">+F26</f>
        <v>0</v>
      </c>
      <c r="G25" s="184" t="e">
        <f t="shared" si="3"/>
        <v>#DIV/0!</v>
      </c>
      <c r="H25" s="184" t="e">
        <f t="shared" si="4"/>
        <v>#DIV/0!</v>
      </c>
      <c r="I25" s="147"/>
      <c r="J25" s="147"/>
      <c r="K25" s="147"/>
      <c r="L25" s="147"/>
      <c r="M25" s="165"/>
      <c r="N25" s="165"/>
      <c r="O25" s="165"/>
    </row>
    <row r="26" spans="1:15" x14ac:dyDescent="0.2">
      <c r="A26" s="91" t="s">
        <v>339</v>
      </c>
      <c r="B26" s="92" t="s">
        <v>487</v>
      </c>
      <c r="C26" s="90">
        <v>0</v>
      </c>
      <c r="D26" s="93">
        <v>0</v>
      </c>
      <c r="E26" s="93">
        <v>0</v>
      </c>
      <c r="F26" s="90">
        <v>0</v>
      </c>
      <c r="G26" s="173" t="e">
        <f t="shared" si="3"/>
        <v>#DIV/0!</v>
      </c>
      <c r="H26" s="173" t="e">
        <f t="shared" si="4"/>
        <v>#DIV/0!</v>
      </c>
      <c r="I26" s="87"/>
      <c r="J26" s="87"/>
      <c r="K26" s="87"/>
      <c r="L26" s="87"/>
      <c r="M26" s="87"/>
      <c r="N26" s="87"/>
      <c r="O26" s="87"/>
    </row>
    <row r="27" spans="1:15" x14ac:dyDescent="0.2">
      <c r="A27" s="186" t="s">
        <v>72</v>
      </c>
      <c r="B27" s="186" t="s">
        <v>26</v>
      </c>
      <c r="C27" s="187">
        <f>+C28+C31+C33+C35+C41+C43+C45</f>
        <v>2281615.88</v>
      </c>
      <c r="D27" s="188">
        <f>+D28+D31+D33+D35+D41+D43+D45</f>
        <v>5476275</v>
      </c>
      <c r="E27" s="188">
        <f>+E28+E31+E33+E35+E41+E43+E45</f>
        <v>5476275</v>
      </c>
      <c r="F27" s="187">
        <f>+F28+F31+F33+F35+F41+F43+F45</f>
        <v>2727429.27</v>
      </c>
      <c r="G27" s="187">
        <f t="shared" si="3"/>
        <v>119.53937093039517</v>
      </c>
      <c r="H27" s="187">
        <f t="shared" si="4"/>
        <v>49.804461426791022</v>
      </c>
      <c r="I27" s="80"/>
      <c r="J27" s="80"/>
      <c r="K27" s="80"/>
      <c r="L27" s="80"/>
      <c r="M27" s="80"/>
      <c r="N27" s="80"/>
      <c r="O27" s="80"/>
    </row>
    <row r="28" spans="1:15" x14ac:dyDescent="0.2">
      <c r="A28" s="182" t="s">
        <v>54</v>
      </c>
      <c r="B28" s="183" t="s">
        <v>55</v>
      </c>
      <c r="C28" s="184">
        <f>+C29+C30</f>
        <v>1816488.75</v>
      </c>
      <c r="D28" s="185">
        <f>+D29+D30</f>
        <v>4113869</v>
      </c>
      <c r="E28" s="185">
        <f>+E29+E30</f>
        <v>4113869</v>
      </c>
      <c r="F28" s="184">
        <f>+F29+F30</f>
        <v>2116114.7400000002</v>
      </c>
      <c r="G28" s="184">
        <f t="shared" si="3"/>
        <v>116.49478919151028</v>
      </c>
      <c r="H28" s="184">
        <f t="shared" si="4"/>
        <v>51.438554314685284</v>
      </c>
      <c r="I28" s="147"/>
      <c r="J28" s="147"/>
      <c r="K28" s="147"/>
      <c r="L28" s="147"/>
      <c r="M28" s="165"/>
      <c r="N28" s="165"/>
      <c r="O28" s="165"/>
    </row>
    <row r="29" spans="1:15" x14ac:dyDescent="0.2">
      <c r="A29" s="91" t="s">
        <v>56</v>
      </c>
      <c r="B29" s="92" t="s">
        <v>55</v>
      </c>
      <c r="C29" s="90">
        <v>1816488.75</v>
      </c>
      <c r="D29" s="93">
        <v>4113869</v>
      </c>
      <c r="E29" s="93">
        <v>4113869</v>
      </c>
      <c r="F29" s="90">
        <v>2116114.7400000002</v>
      </c>
      <c r="G29" s="173">
        <f t="shared" si="3"/>
        <v>116.49478919151028</v>
      </c>
      <c r="H29" s="173">
        <f t="shared" si="4"/>
        <v>51.438554314685284</v>
      </c>
      <c r="I29" s="87"/>
      <c r="J29" s="87"/>
      <c r="K29" s="87"/>
      <c r="L29" s="87"/>
      <c r="M29" s="87"/>
      <c r="N29" s="87"/>
      <c r="O29" s="87"/>
    </row>
    <row r="30" spans="1:15" x14ac:dyDescent="0.2">
      <c r="A30" s="91" t="s">
        <v>73</v>
      </c>
      <c r="B30" s="92" t="s">
        <v>74</v>
      </c>
      <c r="C30" s="90">
        <v>0</v>
      </c>
      <c r="D30" s="93">
        <v>0</v>
      </c>
      <c r="E30" s="93">
        <v>0</v>
      </c>
      <c r="F30" s="90">
        <v>0</v>
      </c>
      <c r="G30" s="173" t="e">
        <f t="shared" si="3"/>
        <v>#DIV/0!</v>
      </c>
      <c r="H30" s="173" t="e">
        <f t="shared" si="4"/>
        <v>#DIV/0!</v>
      </c>
      <c r="I30" s="87"/>
      <c r="J30" s="87"/>
      <c r="K30" s="87"/>
      <c r="L30" s="87"/>
      <c r="M30" s="87"/>
      <c r="N30" s="87"/>
      <c r="O30" s="87"/>
    </row>
    <row r="31" spans="1:15" x14ac:dyDescent="0.2">
      <c r="A31" s="182" t="s">
        <v>81</v>
      </c>
      <c r="B31" s="183" t="s">
        <v>485</v>
      </c>
      <c r="C31" s="184">
        <f>+C32</f>
        <v>186495.16</v>
      </c>
      <c r="D31" s="185">
        <f t="shared" ref="D31" si="17">+D32</f>
        <v>622935</v>
      </c>
      <c r="E31" s="185">
        <f t="shared" ref="E31" si="18">+E32</f>
        <v>622935</v>
      </c>
      <c r="F31" s="184">
        <f t="shared" ref="F31" si="19">+F32</f>
        <v>207454.35</v>
      </c>
      <c r="G31" s="184">
        <f t="shared" si="3"/>
        <v>111.23846323947495</v>
      </c>
      <c r="H31" s="184">
        <f t="shared" si="4"/>
        <v>33.302728214019126</v>
      </c>
      <c r="I31" s="147"/>
      <c r="J31" s="147"/>
      <c r="K31" s="147"/>
      <c r="L31" s="147"/>
      <c r="M31" s="165"/>
      <c r="N31" s="165"/>
      <c r="O31" s="165"/>
    </row>
    <row r="32" spans="1:15" x14ac:dyDescent="0.2">
      <c r="A32" s="91" t="s">
        <v>83</v>
      </c>
      <c r="B32" s="92" t="s">
        <v>485</v>
      </c>
      <c r="C32" s="90">
        <v>186495.16</v>
      </c>
      <c r="D32" s="93">
        <v>622935</v>
      </c>
      <c r="E32" s="93">
        <v>622935</v>
      </c>
      <c r="F32" s="90">
        <v>207454.35</v>
      </c>
      <c r="G32" s="173">
        <f t="shared" si="3"/>
        <v>111.23846323947495</v>
      </c>
      <c r="H32" s="173">
        <f t="shared" si="4"/>
        <v>33.302728214019126</v>
      </c>
      <c r="I32" s="87"/>
      <c r="J32" s="87"/>
      <c r="K32" s="87"/>
      <c r="L32" s="87"/>
      <c r="M32" s="87"/>
      <c r="N32" s="87"/>
      <c r="O32" s="87"/>
    </row>
    <row r="33" spans="1:15" x14ac:dyDescent="0.2">
      <c r="A33" s="182" t="s">
        <v>57</v>
      </c>
      <c r="B33" s="183" t="s">
        <v>58</v>
      </c>
      <c r="C33" s="184">
        <f>+C34</f>
        <v>239822.67</v>
      </c>
      <c r="D33" s="185">
        <f t="shared" ref="D33" si="20">+D34</f>
        <v>716513</v>
      </c>
      <c r="E33" s="185">
        <f t="shared" ref="E33" si="21">+E34</f>
        <v>716513</v>
      </c>
      <c r="F33" s="184">
        <f t="shared" ref="F33" si="22">+F34</f>
        <v>354054.8</v>
      </c>
      <c r="G33" s="184">
        <f t="shared" si="3"/>
        <v>147.63191486442878</v>
      </c>
      <c r="H33" s="184">
        <f t="shared" si="4"/>
        <v>49.41359054197202</v>
      </c>
      <c r="I33" s="147"/>
      <c r="J33" s="147"/>
      <c r="K33" s="147"/>
      <c r="L33" s="147"/>
      <c r="M33" s="165"/>
      <c r="N33" s="165"/>
      <c r="O33" s="165"/>
    </row>
    <row r="34" spans="1:15" x14ac:dyDescent="0.2">
      <c r="A34" s="91" t="s">
        <v>60</v>
      </c>
      <c r="B34" s="92" t="s">
        <v>61</v>
      </c>
      <c r="C34" s="90">
        <v>239822.67</v>
      </c>
      <c r="D34" s="93">
        <v>716513</v>
      </c>
      <c r="E34" s="93">
        <v>716513</v>
      </c>
      <c r="F34" s="90">
        <v>354054.8</v>
      </c>
      <c r="G34" s="173">
        <f t="shared" si="3"/>
        <v>147.63191486442878</v>
      </c>
      <c r="H34" s="173">
        <f t="shared" si="4"/>
        <v>49.41359054197202</v>
      </c>
      <c r="I34" s="87"/>
      <c r="J34" s="87"/>
      <c r="K34" s="87"/>
      <c r="L34" s="87"/>
      <c r="M34" s="87"/>
      <c r="N34" s="87"/>
      <c r="O34" s="87"/>
    </row>
    <row r="35" spans="1:15" x14ac:dyDescent="0.2">
      <c r="A35" s="182" t="s">
        <v>62</v>
      </c>
      <c r="B35" s="183" t="s">
        <v>63</v>
      </c>
      <c r="C35" s="184">
        <f>SUM(C36:C40)</f>
        <v>19733.23</v>
      </c>
      <c r="D35" s="185">
        <f>SUM(D36:D40)</f>
        <v>22958</v>
      </c>
      <c r="E35" s="185">
        <f>SUM(E36:E40)</f>
        <v>22958</v>
      </c>
      <c r="F35" s="184">
        <f>SUM(F36:F40)</f>
        <v>49805.38</v>
      </c>
      <c r="G35" s="184">
        <f t="shared" si="3"/>
        <v>252.39345003326875</v>
      </c>
      <c r="H35" s="184">
        <f t="shared" si="4"/>
        <v>216.94128408397941</v>
      </c>
      <c r="I35" s="147"/>
      <c r="J35" s="147"/>
      <c r="K35" s="147"/>
      <c r="L35" s="147"/>
      <c r="M35" s="165"/>
      <c r="N35" s="165"/>
      <c r="O35" s="165"/>
    </row>
    <row r="36" spans="1:15" x14ac:dyDescent="0.2">
      <c r="A36" s="91" t="s">
        <v>64</v>
      </c>
      <c r="B36" s="92" t="s">
        <v>65</v>
      </c>
      <c r="C36" s="90">
        <v>0</v>
      </c>
      <c r="D36" s="93">
        <v>0</v>
      </c>
      <c r="E36" s="93">
        <v>0</v>
      </c>
      <c r="F36" s="90">
        <v>0</v>
      </c>
      <c r="G36" s="173" t="e">
        <f t="shared" si="3"/>
        <v>#DIV/0!</v>
      </c>
      <c r="H36" s="173" t="e">
        <f t="shared" si="4"/>
        <v>#DIV/0!</v>
      </c>
      <c r="I36" s="87"/>
      <c r="J36" s="87"/>
      <c r="K36" s="87"/>
      <c r="L36" s="87"/>
      <c r="M36" s="87"/>
      <c r="N36" s="87"/>
      <c r="O36" s="87"/>
    </row>
    <row r="37" spans="1:15" x14ac:dyDescent="0.2">
      <c r="A37" s="91" t="s">
        <v>75</v>
      </c>
      <c r="B37" s="92" t="s">
        <v>76</v>
      </c>
      <c r="C37" s="90">
        <v>19733.23</v>
      </c>
      <c r="D37" s="93">
        <v>22958</v>
      </c>
      <c r="E37" s="93">
        <v>22958</v>
      </c>
      <c r="F37" s="90">
        <v>49805.38</v>
      </c>
      <c r="G37" s="173">
        <f t="shared" si="3"/>
        <v>252.39345003326875</v>
      </c>
      <c r="H37" s="173">
        <f t="shared" si="4"/>
        <v>216.94128408397941</v>
      </c>
      <c r="I37" s="87"/>
      <c r="J37" s="87"/>
      <c r="K37" s="87"/>
      <c r="L37" s="87"/>
      <c r="M37" s="87"/>
      <c r="N37" s="87"/>
      <c r="O37" s="87"/>
    </row>
    <row r="38" spans="1:15" x14ac:dyDescent="0.2">
      <c r="A38" s="91" t="s">
        <v>66</v>
      </c>
      <c r="B38" s="92" t="s">
        <v>67</v>
      </c>
      <c r="C38" s="90">
        <v>0</v>
      </c>
      <c r="D38" s="93">
        <v>0</v>
      </c>
      <c r="E38" s="93">
        <v>0</v>
      </c>
      <c r="F38" s="90">
        <v>0</v>
      </c>
      <c r="G38" s="173" t="e">
        <f t="shared" si="3"/>
        <v>#DIV/0!</v>
      </c>
      <c r="H38" s="173" t="e">
        <f t="shared" si="4"/>
        <v>#DIV/0!</v>
      </c>
      <c r="I38" s="87"/>
      <c r="J38" s="87"/>
      <c r="K38" s="87"/>
      <c r="L38" s="87"/>
      <c r="M38" s="87"/>
      <c r="N38" s="87"/>
      <c r="O38" s="87"/>
    </row>
    <row r="39" spans="1:15" x14ac:dyDescent="0.2">
      <c r="A39" s="91" t="s">
        <v>68</v>
      </c>
      <c r="B39" s="92" t="s">
        <v>69</v>
      </c>
      <c r="C39" s="90">
        <v>0</v>
      </c>
      <c r="D39" s="93">
        <v>0</v>
      </c>
      <c r="E39" s="93">
        <v>0</v>
      </c>
      <c r="F39" s="90">
        <v>0</v>
      </c>
      <c r="G39" s="173" t="e">
        <f t="shared" si="3"/>
        <v>#DIV/0!</v>
      </c>
      <c r="H39" s="173" t="e">
        <f t="shared" si="4"/>
        <v>#DIV/0!</v>
      </c>
      <c r="I39" s="87"/>
      <c r="J39" s="87"/>
      <c r="K39" s="87"/>
      <c r="L39" s="87"/>
      <c r="M39" s="87"/>
      <c r="N39" s="87"/>
      <c r="O39" s="87"/>
    </row>
    <row r="40" spans="1:15" x14ac:dyDescent="0.2">
      <c r="A40" s="91" t="s">
        <v>70</v>
      </c>
      <c r="B40" s="92" t="s">
        <v>71</v>
      </c>
      <c r="C40" s="90">
        <v>0</v>
      </c>
      <c r="D40" s="93">
        <v>0</v>
      </c>
      <c r="E40" s="93">
        <v>0</v>
      </c>
      <c r="F40" s="90">
        <v>0</v>
      </c>
      <c r="G40" s="173" t="e">
        <f t="shared" si="3"/>
        <v>#DIV/0!</v>
      </c>
      <c r="H40" s="173" t="e">
        <f t="shared" si="4"/>
        <v>#DIV/0!</v>
      </c>
      <c r="I40" s="87"/>
      <c r="J40" s="87"/>
      <c r="K40" s="87"/>
      <c r="L40" s="87"/>
      <c r="M40" s="87"/>
      <c r="N40" s="87"/>
      <c r="O40" s="87"/>
    </row>
    <row r="41" spans="1:15" x14ac:dyDescent="0.2">
      <c r="A41" s="182" t="s">
        <v>30</v>
      </c>
      <c r="B41" s="183" t="s">
        <v>486</v>
      </c>
      <c r="C41" s="184">
        <f>+C42</f>
        <v>19076.07</v>
      </c>
      <c r="D41" s="185">
        <f t="shared" ref="D41" si="23">+D42</f>
        <v>0</v>
      </c>
      <c r="E41" s="185">
        <f t="shared" ref="E41" si="24">+E42</f>
        <v>0</v>
      </c>
      <c r="F41" s="184">
        <f t="shared" ref="F41" si="25">+F42</f>
        <v>0</v>
      </c>
      <c r="G41" s="184">
        <f t="shared" si="3"/>
        <v>0</v>
      </c>
      <c r="H41" s="184" t="e">
        <f t="shared" si="4"/>
        <v>#DIV/0!</v>
      </c>
      <c r="I41" s="147"/>
      <c r="J41" s="147"/>
      <c r="K41" s="147"/>
      <c r="L41" s="147"/>
      <c r="M41" s="165"/>
      <c r="N41" s="165"/>
      <c r="O41" s="165"/>
    </row>
    <row r="42" spans="1:15" x14ac:dyDescent="0.2">
      <c r="A42" s="91" t="s">
        <v>32</v>
      </c>
      <c r="B42" s="92" t="s">
        <v>486</v>
      </c>
      <c r="C42" s="90">
        <v>19076.07</v>
      </c>
      <c r="D42" s="93">
        <v>0</v>
      </c>
      <c r="E42" s="93">
        <v>0</v>
      </c>
      <c r="F42" s="90">
        <v>0</v>
      </c>
      <c r="G42" s="173">
        <f t="shared" si="3"/>
        <v>0</v>
      </c>
      <c r="H42" s="173" t="e">
        <f t="shared" si="4"/>
        <v>#DIV/0!</v>
      </c>
      <c r="I42" s="87"/>
      <c r="J42" s="87"/>
      <c r="K42" s="87"/>
      <c r="L42" s="87"/>
      <c r="M42" s="87"/>
      <c r="N42" s="87"/>
      <c r="O42" s="87"/>
    </row>
    <row r="43" spans="1:15" x14ac:dyDescent="0.2">
      <c r="A43" s="182" t="s">
        <v>337</v>
      </c>
      <c r="B43" s="183" t="s">
        <v>487</v>
      </c>
      <c r="C43" s="184">
        <f>+C44</f>
        <v>0</v>
      </c>
      <c r="D43" s="185">
        <f t="shared" ref="D43" si="26">+D44</f>
        <v>0</v>
      </c>
      <c r="E43" s="185">
        <f t="shared" ref="E43" si="27">+E44</f>
        <v>0</v>
      </c>
      <c r="F43" s="184">
        <f t="shared" ref="F43" si="28">+F44</f>
        <v>0</v>
      </c>
      <c r="G43" s="184" t="e">
        <f t="shared" si="3"/>
        <v>#DIV/0!</v>
      </c>
      <c r="H43" s="184" t="e">
        <f t="shared" si="4"/>
        <v>#DIV/0!</v>
      </c>
      <c r="I43" s="147"/>
      <c r="J43" s="147"/>
      <c r="K43" s="147"/>
      <c r="L43" s="147"/>
      <c r="M43" s="165"/>
      <c r="N43" s="165"/>
      <c r="O43" s="165"/>
    </row>
    <row r="44" spans="1:15" x14ac:dyDescent="0.2">
      <c r="A44" s="91" t="s">
        <v>339</v>
      </c>
      <c r="B44" s="92" t="s">
        <v>487</v>
      </c>
      <c r="C44" s="90">
        <v>0</v>
      </c>
      <c r="D44" s="93">
        <v>0</v>
      </c>
      <c r="E44" s="93">
        <v>0</v>
      </c>
      <c r="F44" s="90">
        <v>0</v>
      </c>
      <c r="G44" s="173" t="e">
        <f t="shared" si="3"/>
        <v>#DIV/0!</v>
      </c>
      <c r="H44" s="173" t="e">
        <f t="shared" si="4"/>
        <v>#DIV/0!</v>
      </c>
      <c r="I44" s="87"/>
      <c r="J44" s="87"/>
      <c r="K44" s="87"/>
      <c r="L44" s="87"/>
      <c r="M44" s="87"/>
      <c r="N44" s="87"/>
      <c r="O44" s="87"/>
    </row>
    <row r="45" spans="1:15" x14ac:dyDescent="0.2">
      <c r="A45" s="182" t="s">
        <v>77</v>
      </c>
      <c r="B45" s="183" t="s">
        <v>78</v>
      </c>
      <c r="C45" s="184">
        <f>+C46</f>
        <v>0</v>
      </c>
      <c r="D45" s="185">
        <f t="shared" ref="D45:F45" si="29">+D46</f>
        <v>0</v>
      </c>
      <c r="E45" s="185">
        <f t="shared" si="29"/>
        <v>0</v>
      </c>
      <c r="F45" s="184">
        <f t="shared" si="29"/>
        <v>0</v>
      </c>
      <c r="G45" s="184" t="e">
        <f t="shared" si="3"/>
        <v>#DIV/0!</v>
      </c>
      <c r="H45" s="184" t="e">
        <f t="shared" si="4"/>
        <v>#DIV/0!</v>
      </c>
      <c r="I45" s="147"/>
      <c r="J45" s="147"/>
      <c r="K45" s="147"/>
      <c r="L45" s="147"/>
      <c r="M45" s="165"/>
      <c r="N45" s="165"/>
      <c r="O45" s="165"/>
    </row>
    <row r="46" spans="1:15" x14ac:dyDescent="0.2">
      <c r="A46" s="91" t="s">
        <v>79</v>
      </c>
      <c r="B46" s="92" t="s">
        <v>78</v>
      </c>
      <c r="C46" s="90">
        <v>0</v>
      </c>
      <c r="D46" s="90">
        <v>0</v>
      </c>
      <c r="E46" s="93">
        <v>0</v>
      </c>
      <c r="F46" s="90"/>
      <c r="G46" s="173" t="e">
        <f t="shared" si="3"/>
        <v>#DIV/0!</v>
      </c>
      <c r="H46" s="173" t="e">
        <f t="shared" si="4"/>
        <v>#DIV/0!</v>
      </c>
      <c r="I46" s="87"/>
      <c r="J46" s="87"/>
      <c r="K46" s="87"/>
      <c r="L46" s="87"/>
      <c r="M46" s="87"/>
      <c r="N46" s="87"/>
      <c r="O46" s="8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4" sqref="F14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94"/>
      <c r="M1" s="94"/>
      <c r="N1" s="94"/>
      <c r="O1" s="94"/>
    </row>
    <row r="2" spans="1:15" ht="15.75" hidden="1" customHeight="1" x14ac:dyDescent="0.2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94"/>
      <c r="M2" s="94"/>
      <c r="N2" s="94"/>
      <c r="O2" s="94"/>
    </row>
    <row r="3" spans="1:15" ht="18" hidden="1" customHeight="1" x14ac:dyDescent="0.2">
      <c r="A3" s="100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94"/>
      <c r="M3" s="94"/>
      <c r="N3" s="94"/>
      <c r="O3" s="94"/>
    </row>
    <row r="4" spans="1:15" ht="18" x14ac:dyDescent="0.2">
      <c r="A4" s="100"/>
      <c r="B4" s="100"/>
      <c r="C4" s="100"/>
      <c r="D4" s="100"/>
      <c r="E4" s="100"/>
      <c r="F4" s="100"/>
      <c r="G4" s="100"/>
      <c r="H4" s="100"/>
      <c r="I4" s="101"/>
      <c r="J4" s="101"/>
      <c r="K4" s="101"/>
      <c r="L4" s="94"/>
      <c r="M4" s="94"/>
      <c r="N4" s="94"/>
      <c r="O4" s="94"/>
    </row>
    <row r="5" spans="1:15" ht="15.75" customHeight="1" x14ac:dyDescent="0.2">
      <c r="A5" s="393" t="s">
        <v>488</v>
      </c>
      <c r="B5" s="393"/>
      <c r="C5" s="393"/>
      <c r="D5" s="393"/>
      <c r="E5" s="393"/>
      <c r="F5" s="393"/>
      <c r="G5" s="393"/>
      <c r="H5" s="393"/>
      <c r="I5" s="38"/>
      <c r="J5" s="38"/>
      <c r="K5" s="38"/>
      <c r="L5" s="94"/>
      <c r="M5" s="94"/>
      <c r="N5" s="94"/>
      <c r="O5" s="94"/>
    </row>
    <row r="6" spans="1:15" ht="18" x14ac:dyDescent="0.2">
      <c r="A6" s="100"/>
      <c r="B6" s="100"/>
      <c r="C6" s="100"/>
      <c r="D6" s="100"/>
      <c r="E6" s="100"/>
      <c r="F6" s="100"/>
      <c r="G6" s="100"/>
      <c r="H6" s="100"/>
      <c r="I6" s="101"/>
      <c r="J6" s="101"/>
      <c r="K6" s="101"/>
      <c r="L6" s="94"/>
      <c r="M6" s="94"/>
      <c r="N6" s="94"/>
      <c r="O6" s="94"/>
    </row>
    <row r="7" spans="1:15" s="33" customFormat="1" ht="57" x14ac:dyDescent="0.25">
      <c r="A7" s="392" t="s">
        <v>3</v>
      </c>
      <c r="B7" s="392"/>
      <c r="C7" s="161" t="s">
        <v>562</v>
      </c>
      <c r="D7" s="161" t="s">
        <v>563</v>
      </c>
      <c r="E7" s="161" t="s">
        <v>564</v>
      </c>
      <c r="F7" s="161" t="s">
        <v>565</v>
      </c>
      <c r="G7" s="110" t="s">
        <v>260</v>
      </c>
      <c r="H7" s="110" t="s">
        <v>261</v>
      </c>
      <c r="I7" s="95"/>
      <c r="J7" s="95"/>
      <c r="K7" s="95"/>
      <c r="L7" s="95"/>
      <c r="M7" s="95"/>
      <c r="N7" s="95"/>
      <c r="O7" s="95"/>
    </row>
    <row r="8" spans="1:15" s="34" customFormat="1" ht="12.75" customHeight="1" x14ac:dyDescent="0.2">
      <c r="A8" s="391">
        <v>1</v>
      </c>
      <c r="B8" s="391"/>
      <c r="C8" s="111">
        <v>2</v>
      </c>
      <c r="D8" s="111">
        <v>3</v>
      </c>
      <c r="E8" s="111">
        <v>4.3333333333333304</v>
      </c>
      <c r="F8" s="111">
        <v>5.0833333333333304</v>
      </c>
      <c r="G8" s="111">
        <v>6</v>
      </c>
      <c r="H8" s="111">
        <v>7</v>
      </c>
      <c r="I8" s="97"/>
      <c r="J8" s="97"/>
      <c r="K8" s="97"/>
      <c r="L8" s="97"/>
      <c r="M8" s="96"/>
      <c r="N8" s="96"/>
      <c r="O8" s="96"/>
    </row>
    <row r="9" spans="1:15" ht="15" customHeight="1" x14ac:dyDescent="0.2">
      <c r="A9" s="128" t="s">
        <v>554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46"/>
      <c r="J9" s="146"/>
      <c r="K9" s="146"/>
      <c r="L9" s="146"/>
      <c r="M9" s="164"/>
      <c r="N9" s="164"/>
      <c r="O9" s="164"/>
    </row>
    <row r="10" spans="1:15" x14ac:dyDescent="0.2">
      <c r="A10" s="197"/>
      <c r="B10" s="202" t="s">
        <v>255</v>
      </c>
      <c r="C10" s="196">
        <f>+C11+C13</f>
        <v>2281615.88</v>
      </c>
      <c r="D10" s="196">
        <f>+D11+D13</f>
        <v>5476275</v>
      </c>
      <c r="E10" s="196">
        <f>+E11+E13</f>
        <v>5476275</v>
      </c>
      <c r="F10" s="196">
        <f>+F11+F13</f>
        <v>2727429.27</v>
      </c>
      <c r="G10" s="187">
        <f>+F10/C10*100</f>
        <v>119.53937093039517</v>
      </c>
      <c r="H10" s="187">
        <f>+F10/E10*100</f>
        <v>49.804461426791022</v>
      </c>
      <c r="I10" s="112"/>
      <c r="J10" s="112"/>
      <c r="K10" s="112"/>
      <c r="L10" s="112"/>
      <c r="M10" s="113"/>
      <c r="N10" s="113"/>
      <c r="O10" s="113"/>
    </row>
    <row r="11" spans="1:15" x14ac:dyDescent="0.2">
      <c r="A11" s="182" t="s">
        <v>489</v>
      </c>
      <c r="B11" s="183" t="s">
        <v>490</v>
      </c>
      <c r="C11" s="184">
        <f>+C12</f>
        <v>0</v>
      </c>
      <c r="D11" s="185">
        <f t="shared" ref="D11:F11" si="0">+D12</f>
        <v>0</v>
      </c>
      <c r="E11" s="185">
        <f t="shared" si="0"/>
        <v>0</v>
      </c>
      <c r="F11" s="184">
        <f t="shared" si="0"/>
        <v>0</v>
      </c>
      <c r="G11" s="184" t="e">
        <f t="shared" ref="G11:G14" si="1">+F11/C11*100</f>
        <v>#DIV/0!</v>
      </c>
      <c r="H11" s="184" t="e">
        <f t="shared" ref="H11:H14" si="2">+F11/E11*100</f>
        <v>#DIV/0!</v>
      </c>
      <c r="I11" s="115"/>
      <c r="J11" s="115"/>
      <c r="K11" s="115"/>
      <c r="L11" s="115"/>
      <c r="M11" s="114"/>
      <c r="N11" s="114"/>
      <c r="O11" s="114"/>
    </row>
    <row r="12" spans="1:15" x14ac:dyDescent="0.2">
      <c r="A12" s="120" t="s">
        <v>491</v>
      </c>
      <c r="B12" s="121" t="s">
        <v>492</v>
      </c>
      <c r="C12" s="116">
        <v>0</v>
      </c>
      <c r="D12" s="117">
        <v>0</v>
      </c>
      <c r="E12" s="117">
        <v>0</v>
      </c>
      <c r="F12" s="116">
        <v>0</v>
      </c>
      <c r="G12" s="173" t="e">
        <f t="shared" si="1"/>
        <v>#DIV/0!</v>
      </c>
      <c r="H12" s="173" t="e">
        <f t="shared" si="2"/>
        <v>#DIV/0!</v>
      </c>
      <c r="I12" s="118"/>
      <c r="J12" s="118"/>
      <c r="K12" s="118"/>
      <c r="L12" s="118"/>
      <c r="M12" s="119"/>
      <c r="N12" s="119"/>
      <c r="O12" s="119"/>
    </row>
    <row r="13" spans="1:15" x14ac:dyDescent="0.2">
      <c r="A13" s="182" t="s">
        <v>493</v>
      </c>
      <c r="B13" s="183" t="s">
        <v>494</v>
      </c>
      <c r="C13" s="184">
        <f>+C14</f>
        <v>2281615.88</v>
      </c>
      <c r="D13" s="185">
        <f t="shared" ref="D13" si="3">+D14</f>
        <v>5476275</v>
      </c>
      <c r="E13" s="185">
        <f t="shared" ref="E13" si="4">+E14</f>
        <v>5476275</v>
      </c>
      <c r="F13" s="184">
        <f t="shared" ref="F13" si="5">+F14</f>
        <v>2727429.27</v>
      </c>
      <c r="G13" s="184">
        <f t="shared" si="1"/>
        <v>119.53937093039517</v>
      </c>
      <c r="H13" s="184">
        <f t="shared" si="2"/>
        <v>49.804461426791022</v>
      </c>
      <c r="I13" s="115"/>
      <c r="J13" s="115"/>
      <c r="K13" s="115"/>
      <c r="L13" s="115"/>
      <c r="M13" s="114"/>
      <c r="N13" s="114"/>
      <c r="O13" s="114"/>
    </row>
    <row r="14" spans="1:15" x14ac:dyDescent="0.2">
      <c r="A14" s="120" t="s">
        <v>495</v>
      </c>
      <c r="B14" s="155" t="s">
        <v>496</v>
      </c>
      <c r="C14" s="116">
        <v>2281615.88</v>
      </c>
      <c r="D14" s="117">
        <v>5476275</v>
      </c>
      <c r="E14" s="117">
        <v>5476275</v>
      </c>
      <c r="F14" s="116">
        <v>2727429.27</v>
      </c>
      <c r="G14" s="173">
        <f t="shared" si="1"/>
        <v>119.53937093039517</v>
      </c>
      <c r="H14" s="173">
        <f t="shared" si="2"/>
        <v>49.804461426791022</v>
      </c>
      <c r="I14" s="119"/>
      <c r="J14" s="119"/>
      <c r="K14" s="119"/>
      <c r="L14" s="119"/>
      <c r="M14" s="119"/>
      <c r="N14" s="119"/>
      <c r="O14" s="119"/>
    </row>
    <row r="15" spans="1:15" x14ac:dyDescent="0.2">
      <c r="A15" s="98"/>
      <c r="B15" s="102"/>
      <c r="C15" s="103"/>
      <c r="D15" s="104"/>
      <c r="E15" s="104"/>
      <c r="F15" s="103"/>
      <c r="G15" s="103"/>
      <c r="H15" s="103"/>
      <c r="I15" s="99"/>
      <c r="J15" s="99"/>
      <c r="K15" s="99"/>
      <c r="L15" s="99"/>
      <c r="M15" s="99"/>
      <c r="N15" s="99"/>
      <c r="O15" s="99"/>
    </row>
    <row r="16" spans="1:15" x14ac:dyDescent="0.2">
      <c r="A16" s="108"/>
      <c r="B16" s="109"/>
      <c r="C16" s="105"/>
      <c r="D16" s="106"/>
      <c r="E16" s="106"/>
      <c r="F16" s="105"/>
      <c r="G16" s="105"/>
      <c r="H16" s="105"/>
      <c r="I16" s="107"/>
      <c r="J16" s="107"/>
      <c r="K16" s="107"/>
      <c r="L16" s="107"/>
      <c r="M16" s="107"/>
      <c r="N16" s="107"/>
      <c r="O16" s="107"/>
    </row>
    <row r="17" spans="1:15" x14ac:dyDescent="0.2">
      <c r="A17" s="108"/>
      <c r="B17" s="109"/>
      <c r="C17" s="105"/>
      <c r="D17" s="106"/>
      <c r="E17" s="106"/>
      <c r="F17" s="105"/>
      <c r="G17" s="105"/>
      <c r="H17" s="105"/>
      <c r="I17" s="107"/>
      <c r="J17" s="107"/>
      <c r="K17" s="107"/>
      <c r="L17" s="107"/>
      <c r="M17" s="107"/>
      <c r="N17" s="107"/>
      <c r="O17" s="107"/>
    </row>
    <row r="18" spans="1:15" x14ac:dyDescent="0.2">
      <c r="A18" s="108"/>
      <c r="B18" s="109"/>
      <c r="C18" s="105"/>
      <c r="D18" s="106"/>
      <c r="E18" s="106"/>
      <c r="F18" s="105"/>
      <c r="G18" s="105"/>
      <c r="H18" s="105"/>
      <c r="I18" s="107"/>
      <c r="J18" s="107"/>
      <c r="K18" s="107"/>
      <c r="L18" s="107"/>
      <c r="M18" s="107"/>
      <c r="N18" s="107"/>
      <c r="O18" s="107"/>
    </row>
    <row r="19" spans="1:15" x14ac:dyDescent="0.2">
      <c r="A19" s="108"/>
      <c r="B19" s="109"/>
      <c r="C19" s="105"/>
      <c r="D19" s="106"/>
      <c r="E19" s="106"/>
      <c r="F19" s="105"/>
      <c r="G19" s="105"/>
      <c r="H19" s="105"/>
      <c r="I19" s="107"/>
      <c r="J19" s="107"/>
      <c r="K19" s="107"/>
      <c r="L19" s="107"/>
      <c r="M19" s="107"/>
      <c r="N19" s="107"/>
      <c r="O19" s="107"/>
    </row>
    <row r="20" spans="1:15" x14ac:dyDescent="0.2">
      <c r="A20" s="108"/>
      <c r="B20" s="109"/>
      <c r="C20" s="105"/>
      <c r="D20" s="106"/>
      <c r="E20" s="106"/>
      <c r="F20" s="105"/>
      <c r="G20" s="105"/>
      <c r="H20" s="105"/>
      <c r="I20" s="107"/>
      <c r="J20" s="107"/>
      <c r="K20" s="107"/>
      <c r="L20" s="107"/>
      <c r="M20" s="107"/>
      <c r="N20" s="107"/>
      <c r="O20" s="107"/>
    </row>
    <row r="21" spans="1:15" x14ac:dyDescent="0.2">
      <c r="A21" s="98"/>
      <c r="B21" s="102"/>
      <c r="C21" s="103"/>
      <c r="D21" s="104"/>
      <c r="E21" s="104"/>
      <c r="F21" s="103"/>
      <c r="G21" s="103"/>
      <c r="H21" s="103"/>
      <c r="I21" s="99"/>
      <c r="J21" s="99"/>
      <c r="K21" s="99"/>
      <c r="L21" s="99"/>
      <c r="M21" s="99"/>
      <c r="N21" s="99"/>
      <c r="O21" s="99"/>
    </row>
    <row r="22" spans="1:15" x14ac:dyDescent="0.2">
      <c r="A22" s="108"/>
      <c r="B22" s="109"/>
      <c r="C22" s="105"/>
      <c r="D22" s="106"/>
      <c r="E22" s="106"/>
      <c r="F22" s="105"/>
      <c r="G22" s="105"/>
      <c r="H22" s="105"/>
      <c r="I22" s="107"/>
      <c r="J22" s="107"/>
      <c r="K22" s="107"/>
      <c r="L22" s="107"/>
      <c r="M22" s="107"/>
      <c r="N22" s="107"/>
      <c r="O22" s="107"/>
    </row>
    <row r="23" spans="1:15" x14ac:dyDescent="0.2">
      <c r="A23" s="98"/>
      <c r="B23" s="102"/>
      <c r="C23" s="103"/>
      <c r="D23" s="104"/>
      <c r="E23" s="104"/>
      <c r="F23" s="103"/>
      <c r="G23" s="103"/>
      <c r="H23" s="103"/>
      <c r="I23" s="99"/>
      <c r="J23" s="99"/>
      <c r="K23" s="99"/>
      <c r="L23" s="99"/>
      <c r="M23" s="99"/>
      <c r="N23" s="99"/>
      <c r="O23" s="99"/>
    </row>
    <row r="24" spans="1:15" x14ac:dyDescent="0.2">
      <c r="A24" s="108"/>
      <c r="B24" s="109"/>
      <c r="C24" s="105"/>
      <c r="D24" s="106"/>
      <c r="E24" s="106"/>
      <c r="F24" s="105"/>
      <c r="G24" s="105"/>
      <c r="H24" s="105"/>
      <c r="I24" s="107"/>
      <c r="J24" s="107"/>
      <c r="K24" s="107"/>
      <c r="L24" s="107"/>
      <c r="M24" s="107"/>
      <c r="N24" s="107"/>
      <c r="O24" s="107"/>
    </row>
    <row r="25" spans="1:15" x14ac:dyDescent="0.2">
      <c r="A25" s="84"/>
      <c r="B25" s="84"/>
      <c r="C25" s="88"/>
      <c r="D25" s="89"/>
      <c r="E25" s="89"/>
      <c r="F25" s="88"/>
      <c r="G25" s="88"/>
      <c r="H25" s="88"/>
      <c r="I25" s="80"/>
      <c r="J25" s="80"/>
      <c r="K25" s="80"/>
      <c r="L25" s="80"/>
      <c r="M25" s="80"/>
      <c r="N25" s="80"/>
      <c r="O25" s="80"/>
    </row>
    <row r="26" spans="1:15" x14ac:dyDescent="0.2">
      <c r="A26" s="98"/>
      <c r="B26" s="102"/>
      <c r="C26" s="103"/>
      <c r="D26" s="104"/>
      <c r="E26" s="104"/>
      <c r="F26" s="103"/>
      <c r="G26" s="103"/>
      <c r="H26" s="103"/>
      <c r="I26" s="99"/>
      <c r="J26" s="99"/>
      <c r="K26" s="99"/>
      <c r="L26" s="99"/>
      <c r="M26" s="99"/>
      <c r="N26" s="99"/>
      <c r="O26" s="99"/>
    </row>
    <row r="27" spans="1:15" x14ac:dyDescent="0.2">
      <c r="A27" s="108"/>
      <c r="B27" s="109"/>
      <c r="C27" s="105"/>
      <c r="D27" s="106"/>
      <c r="E27" s="106"/>
      <c r="F27" s="105"/>
      <c r="G27" s="105"/>
      <c r="H27" s="105"/>
      <c r="I27" s="107"/>
      <c r="J27" s="107"/>
      <c r="K27" s="107"/>
      <c r="L27" s="107"/>
      <c r="M27" s="107"/>
      <c r="N27" s="107"/>
      <c r="O27" s="107"/>
    </row>
    <row r="28" spans="1:15" x14ac:dyDescent="0.2">
      <c r="A28" s="108"/>
      <c r="B28" s="109"/>
      <c r="C28" s="105"/>
      <c r="D28" s="106"/>
      <c r="E28" s="106"/>
      <c r="F28" s="105"/>
      <c r="G28" s="105"/>
      <c r="H28" s="105"/>
      <c r="I28" s="107"/>
      <c r="J28" s="107"/>
      <c r="K28" s="107"/>
      <c r="L28" s="107"/>
      <c r="M28" s="107"/>
      <c r="N28" s="107"/>
      <c r="O28" s="107"/>
    </row>
    <row r="29" spans="1:15" x14ac:dyDescent="0.2">
      <c r="A29" s="98"/>
      <c r="B29" s="102"/>
      <c r="C29" s="103"/>
      <c r="D29" s="104"/>
      <c r="E29" s="104"/>
      <c r="F29" s="103"/>
      <c r="G29" s="103"/>
      <c r="H29" s="103"/>
      <c r="I29" s="99"/>
      <c r="J29" s="99"/>
      <c r="K29" s="99"/>
      <c r="L29" s="99"/>
      <c r="M29" s="99"/>
      <c r="N29" s="99"/>
      <c r="O29" s="99"/>
    </row>
    <row r="30" spans="1:15" x14ac:dyDescent="0.2">
      <c r="A30" s="108"/>
      <c r="B30" s="109"/>
      <c r="C30" s="105"/>
      <c r="D30" s="106"/>
      <c r="E30" s="106"/>
      <c r="F30" s="105"/>
      <c r="G30" s="105"/>
      <c r="H30" s="105"/>
      <c r="I30" s="107"/>
      <c r="J30" s="107"/>
      <c r="K30" s="107"/>
      <c r="L30" s="107"/>
      <c r="M30" s="107"/>
      <c r="N30" s="107"/>
      <c r="O30" s="107"/>
    </row>
    <row r="31" spans="1:15" x14ac:dyDescent="0.2">
      <c r="A31" s="98"/>
      <c r="B31" s="102"/>
      <c r="C31" s="103"/>
      <c r="D31" s="104"/>
      <c r="E31" s="104"/>
      <c r="F31" s="103"/>
      <c r="G31" s="103"/>
      <c r="H31" s="103"/>
      <c r="I31" s="99"/>
      <c r="J31" s="99"/>
      <c r="K31" s="99"/>
      <c r="L31" s="99"/>
      <c r="M31" s="99"/>
      <c r="N31" s="99"/>
      <c r="O31" s="99"/>
    </row>
    <row r="32" spans="1:15" x14ac:dyDescent="0.2">
      <c r="A32" s="108"/>
      <c r="B32" s="109"/>
      <c r="C32" s="105"/>
      <c r="D32" s="106"/>
      <c r="E32" s="106"/>
      <c r="F32" s="105"/>
      <c r="G32" s="105"/>
      <c r="H32" s="105"/>
      <c r="I32" s="107"/>
      <c r="J32" s="107"/>
      <c r="K32" s="107"/>
      <c r="L32" s="107"/>
      <c r="M32" s="107"/>
      <c r="N32" s="107"/>
      <c r="O32" s="107"/>
    </row>
    <row r="33" spans="1:15" x14ac:dyDescent="0.2">
      <c r="A33" s="98"/>
      <c r="B33" s="102"/>
      <c r="C33" s="103"/>
      <c r="D33" s="104"/>
      <c r="E33" s="104"/>
      <c r="F33" s="103"/>
      <c r="G33" s="103"/>
      <c r="H33" s="103"/>
      <c r="I33" s="99"/>
      <c r="J33" s="99"/>
      <c r="K33" s="99"/>
      <c r="L33" s="99"/>
      <c r="M33" s="99"/>
      <c r="N33" s="99"/>
      <c r="O33" s="99"/>
    </row>
    <row r="34" spans="1:15" x14ac:dyDescent="0.2">
      <c r="A34" s="108"/>
      <c r="B34" s="109"/>
      <c r="C34" s="105"/>
      <c r="D34" s="106"/>
      <c r="E34" s="106"/>
      <c r="F34" s="105"/>
      <c r="G34" s="105"/>
      <c r="H34" s="105"/>
      <c r="I34" s="107"/>
      <c r="J34" s="107"/>
      <c r="K34" s="107"/>
      <c r="L34" s="107"/>
      <c r="M34" s="107"/>
      <c r="N34" s="107"/>
      <c r="O34" s="107"/>
    </row>
    <row r="35" spans="1:15" x14ac:dyDescent="0.2">
      <c r="A35" s="108"/>
      <c r="B35" s="109"/>
      <c r="C35" s="105"/>
      <c r="D35" s="106"/>
      <c r="E35" s="106"/>
      <c r="F35" s="105"/>
      <c r="G35" s="105"/>
      <c r="H35" s="105"/>
      <c r="I35" s="107"/>
      <c r="J35" s="107"/>
      <c r="K35" s="107"/>
      <c r="L35" s="107"/>
      <c r="M35" s="107"/>
      <c r="N35" s="107"/>
      <c r="O35" s="107"/>
    </row>
    <row r="36" spans="1:15" x14ac:dyDescent="0.2">
      <c r="A36" s="108"/>
      <c r="B36" s="109"/>
      <c r="C36" s="105"/>
      <c r="D36" s="106"/>
      <c r="E36" s="106"/>
      <c r="F36" s="105"/>
      <c r="G36" s="105"/>
      <c r="H36" s="105"/>
      <c r="I36" s="107"/>
      <c r="J36" s="107"/>
      <c r="K36" s="107"/>
      <c r="L36" s="107"/>
      <c r="M36" s="107"/>
      <c r="N36" s="107"/>
      <c r="O36" s="107"/>
    </row>
    <row r="37" spans="1:15" x14ac:dyDescent="0.2">
      <c r="A37" s="108"/>
      <c r="B37" s="109"/>
      <c r="C37" s="105"/>
      <c r="D37" s="106"/>
      <c r="E37" s="106"/>
      <c r="F37" s="105"/>
      <c r="G37" s="105"/>
      <c r="H37" s="105"/>
      <c r="I37" s="107"/>
      <c r="J37" s="107"/>
      <c r="K37" s="107"/>
      <c r="L37" s="107"/>
      <c r="M37" s="107"/>
      <c r="N37" s="107"/>
      <c r="O37" s="107"/>
    </row>
    <row r="38" spans="1:15" x14ac:dyDescent="0.2">
      <c r="A38" s="108"/>
      <c r="B38" s="109"/>
      <c r="C38" s="105"/>
      <c r="D38" s="106"/>
      <c r="E38" s="106"/>
      <c r="F38" s="105"/>
      <c r="G38" s="105"/>
      <c r="H38" s="105"/>
      <c r="I38" s="107"/>
      <c r="J38" s="107"/>
      <c r="K38" s="107"/>
      <c r="L38" s="107"/>
      <c r="M38" s="107"/>
      <c r="N38" s="107"/>
      <c r="O38" s="107"/>
    </row>
    <row r="39" spans="1:15" x14ac:dyDescent="0.2">
      <c r="A39" s="98"/>
      <c r="B39" s="102"/>
      <c r="C39" s="103"/>
      <c r="D39" s="104"/>
      <c r="E39" s="104"/>
      <c r="F39" s="103"/>
      <c r="G39" s="103"/>
      <c r="H39" s="103"/>
      <c r="I39" s="99"/>
      <c r="J39" s="99"/>
      <c r="K39" s="99"/>
      <c r="L39" s="99"/>
      <c r="M39" s="99"/>
      <c r="N39" s="99"/>
      <c r="O39" s="99"/>
    </row>
    <row r="40" spans="1:15" x14ac:dyDescent="0.2">
      <c r="A40" s="108"/>
      <c r="B40" s="109"/>
      <c r="C40" s="105"/>
      <c r="D40" s="106"/>
      <c r="E40" s="106"/>
      <c r="F40" s="105"/>
      <c r="G40" s="105"/>
      <c r="H40" s="105"/>
      <c r="I40" s="107"/>
      <c r="J40" s="107"/>
      <c r="K40" s="107"/>
      <c r="L40" s="107"/>
      <c r="M40" s="107"/>
      <c r="N40" s="107"/>
      <c r="O40" s="107"/>
    </row>
    <row r="41" spans="1:15" x14ac:dyDescent="0.2">
      <c r="A41" s="98"/>
      <c r="B41" s="102"/>
      <c r="C41" s="103"/>
      <c r="D41" s="104"/>
      <c r="E41" s="104"/>
      <c r="F41" s="103"/>
      <c r="G41" s="103"/>
      <c r="H41" s="103"/>
      <c r="I41" s="99"/>
      <c r="J41" s="99"/>
      <c r="K41" s="99"/>
      <c r="L41" s="99"/>
      <c r="M41" s="99"/>
      <c r="N41" s="99"/>
      <c r="O41" s="99"/>
    </row>
    <row r="42" spans="1:15" x14ac:dyDescent="0.2">
      <c r="A42" s="108"/>
      <c r="B42" s="109"/>
      <c r="C42" s="105"/>
      <c r="D42" s="106"/>
      <c r="E42" s="106"/>
      <c r="F42" s="105"/>
      <c r="G42" s="105"/>
      <c r="H42" s="105"/>
      <c r="I42" s="107"/>
      <c r="J42" s="107"/>
      <c r="K42" s="107"/>
      <c r="L42" s="107"/>
      <c r="M42" s="107"/>
      <c r="N42" s="107"/>
      <c r="O42" s="107"/>
    </row>
    <row r="43" spans="1:15" x14ac:dyDescent="0.2">
      <c r="A43" s="98"/>
      <c r="B43" s="102"/>
      <c r="C43" s="103"/>
      <c r="D43" s="103"/>
      <c r="E43" s="104"/>
      <c r="F43" s="103"/>
      <c r="G43" s="103"/>
      <c r="H43" s="103"/>
      <c r="I43" s="99"/>
      <c r="J43" s="99"/>
      <c r="K43" s="99"/>
      <c r="L43" s="99"/>
      <c r="M43" s="99"/>
      <c r="N43" s="99"/>
      <c r="O43" s="99"/>
    </row>
    <row r="44" spans="1:15" x14ac:dyDescent="0.2">
      <c r="A44" s="108"/>
      <c r="B44" s="109"/>
      <c r="C44" s="105"/>
      <c r="D44" s="105"/>
      <c r="E44" s="106"/>
      <c r="F44" s="105"/>
      <c r="G44" s="105"/>
      <c r="H44" s="105"/>
      <c r="I44" s="107"/>
      <c r="J44" s="107"/>
      <c r="K44" s="107"/>
      <c r="L44" s="107"/>
      <c r="M44" s="107"/>
      <c r="N44" s="107"/>
      <c r="O44" s="10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E26" sqref="E26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22"/>
      <c r="M1" s="122"/>
      <c r="N1" s="122"/>
      <c r="O1" s="122"/>
    </row>
    <row r="2" spans="1:15" ht="15.75" hidden="1" customHeight="1" x14ac:dyDescent="0.2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122"/>
      <c r="M2" s="122"/>
      <c r="N2" s="122"/>
      <c r="O2" s="122"/>
    </row>
    <row r="3" spans="1:15" ht="18" hidden="1" customHeight="1" x14ac:dyDescent="0.2">
      <c r="A3" s="132"/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22"/>
      <c r="M3" s="122"/>
      <c r="N3" s="122"/>
      <c r="O3" s="122"/>
    </row>
    <row r="4" spans="1:15" ht="18" x14ac:dyDescent="0.2">
      <c r="A4" s="132"/>
      <c r="B4" s="132"/>
      <c r="C4" s="132"/>
      <c r="D4" s="132"/>
      <c r="E4" s="132"/>
      <c r="F4" s="132"/>
      <c r="G4" s="132"/>
      <c r="H4" s="132"/>
      <c r="I4" s="133"/>
      <c r="J4" s="133"/>
      <c r="K4" s="133"/>
      <c r="L4" s="122"/>
      <c r="M4" s="122"/>
      <c r="N4" s="122"/>
      <c r="O4" s="122"/>
    </row>
    <row r="5" spans="1:15" ht="15.75" customHeight="1" x14ac:dyDescent="0.2">
      <c r="A5" s="393" t="s">
        <v>254</v>
      </c>
      <c r="B5" s="393"/>
      <c r="C5" s="393"/>
      <c r="D5" s="393"/>
      <c r="E5" s="393"/>
      <c r="F5" s="393"/>
      <c r="G5" s="393"/>
      <c r="H5" s="393"/>
      <c r="I5" s="38"/>
      <c r="J5" s="38"/>
      <c r="K5" s="38"/>
      <c r="L5" s="122"/>
      <c r="M5" s="122"/>
      <c r="N5" s="122"/>
      <c r="O5" s="122"/>
    </row>
    <row r="6" spans="1:15" ht="18" x14ac:dyDescent="0.2">
      <c r="A6" s="132"/>
      <c r="B6" s="132"/>
      <c r="C6" s="132"/>
      <c r="D6" s="132"/>
      <c r="E6" s="132"/>
      <c r="F6" s="132"/>
      <c r="G6" s="132"/>
      <c r="H6" s="132"/>
      <c r="I6" s="133"/>
      <c r="J6" s="133"/>
      <c r="K6" s="133"/>
      <c r="L6" s="122"/>
      <c r="M6" s="122"/>
      <c r="N6" s="122"/>
      <c r="O6" s="122"/>
    </row>
    <row r="7" spans="1:15" s="33" customFormat="1" ht="57" x14ac:dyDescent="0.25">
      <c r="A7" s="392" t="s">
        <v>3</v>
      </c>
      <c r="B7" s="392"/>
      <c r="C7" s="161" t="s">
        <v>562</v>
      </c>
      <c r="D7" s="161" t="s">
        <v>563</v>
      </c>
      <c r="E7" s="161" t="s">
        <v>564</v>
      </c>
      <c r="F7" s="161" t="s">
        <v>565</v>
      </c>
      <c r="G7" s="138" t="s">
        <v>260</v>
      </c>
      <c r="H7" s="138" t="s">
        <v>261</v>
      </c>
      <c r="I7" s="123"/>
      <c r="J7" s="123"/>
      <c r="K7" s="123"/>
      <c r="L7" s="123"/>
      <c r="M7" s="123"/>
      <c r="N7" s="123"/>
      <c r="O7" s="123"/>
    </row>
    <row r="8" spans="1:15" s="34" customFormat="1" x14ac:dyDescent="0.2">
      <c r="A8" s="391">
        <v>1</v>
      </c>
      <c r="B8" s="391"/>
      <c r="C8" s="139">
        <v>2</v>
      </c>
      <c r="D8" s="139">
        <v>3</v>
      </c>
      <c r="E8" s="139">
        <v>4.3333333333333304</v>
      </c>
      <c r="F8" s="139">
        <v>5.0833333333333304</v>
      </c>
      <c r="G8" s="139">
        <v>6</v>
      </c>
      <c r="H8" s="139">
        <v>7</v>
      </c>
      <c r="I8" s="126"/>
      <c r="J8" s="126"/>
      <c r="K8" s="126"/>
      <c r="L8" s="126"/>
      <c r="M8" s="124"/>
      <c r="N8" s="124"/>
      <c r="O8" s="124"/>
    </row>
    <row r="9" spans="1:15" ht="15" customHeight="1" x14ac:dyDescent="0.2">
      <c r="A9" s="128" t="s">
        <v>256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27"/>
      <c r="J9" s="127"/>
      <c r="K9" s="127"/>
      <c r="L9" s="127"/>
      <c r="M9" s="125"/>
      <c r="N9" s="125"/>
      <c r="O9" s="125"/>
    </row>
    <row r="10" spans="1:15" x14ac:dyDescent="0.2">
      <c r="A10" s="210" t="s">
        <v>77</v>
      </c>
      <c r="B10" s="211" t="s">
        <v>258</v>
      </c>
      <c r="C10" s="189">
        <f>+C11+C14</f>
        <v>0</v>
      </c>
      <c r="D10" s="190">
        <f>+D11+D14</f>
        <v>0</v>
      </c>
      <c r="E10" s="190">
        <f>+E11+E14</f>
        <v>0</v>
      </c>
      <c r="F10" s="189">
        <f>+F11+F14</f>
        <v>0</v>
      </c>
      <c r="G10" s="212" t="e">
        <f t="shared" ref="G10" si="0">+F10/C10*100</f>
        <v>#DIV/0!</v>
      </c>
      <c r="H10" s="212" t="e">
        <f t="shared" ref="H10" si="1">+F10/E10*100</f>
        <v>#DIV/0!</v>
      </c>
      <c r="I10" s="147"/>
      <c r="J10" s="147"/>
      <c r="K10" s="147"/>
      <c r="L10" s="147"/>
      <c r="M10" s="165"/>
      <c r="N10" s="165"/>
      <c r="O10" s="165"/>
    </row>
    <row r="11" spans="1:15" x14ac:dyDescent="0.2">
      <c r="A11" s="204" t="s">
        <v>79</v>
      </c>
      <c r="B11" s="205" t="s">
        <v>497</v>
      </c>
      <c r="C11" s="208">
        <f>+C12</f>
        <v>0</v>
      </c>
      <c r="D11" s="216"/>
      <c r="E11" s="216"/>
      <c r="F11" s="208">
        <f>+F12</f>
        <v>0</v>
      </c>
      <c r="G11" s="208" t="e">
        <f t="shared" ref="G11:G36" si="2">+F11/C11*100</f>
        <v>#DIV/0!</v>
      </c>
      <c r="H11" s="208" t="e">
        <f t="shared" ref="H11:H36" si="3">+F11/E11*100</f>
        <v>#DIV/0!</v>
      </c>
      <c r="I11" s="153"/>
      <c r="J11" s="153"/>
      <c r="K11" s="153"/>
      <c r="L11" s="153"/>
      <c r="M11" s="168"/>
      <c r="N11" s="168"/>
      <c r="O11" s="168"/>
    </row>
    <row r="12" spans="1:15" x14ac:dyDescent="0.2">
      <c r="A12" s="203" t="s">
        <v>498</v>
      </c>
      <c r="B12" s="179" t="s">
        <v>499</v>
      </c>
      <c r="C12" s="206">
        <f>+C13</f>
        <v>0</v>
      </c>
      <c r="D12" s="207"/>
      <c r="E12" s="207"/>
      <c r="F12" s="206">
        <f t="shared" ref="F12" si="4">+F13</f>
        <v>0</v>
      </c>
      <c r="G12" s="177" t="e">
        <f t="shared" si="2"/>
        <v>#DIV/0!</v>
      </c>
      <c r="H12" s="177" t="e">
        <f t="shared" si="3"/>
        <v>#DIV/0!</v>
      </c>
      <c r="I12" s="153"/>
      <c r="J12" s="153"/>
      <c r="K12" s="153"/>
      <c r="L12" s="153"/>
      <c r="M12" s="168"/>
      <c r="N12" s="168"/>
      <c r="O12" s="168"/>
    </row>
    <row r="13" spans="1:15" ht="25.5" x14ac:dyDescent="0.2">
      <c r="A13" s="140" t="s">
        <v>500</v>
      </c>
      <c r="B13" s="137" t="s">
        <v>501</v>
      </c>
      <c r="C13" s="134">
        <v>0</v>
      </c>
      <c r="D13" s="207"/>
      <c r="E13" s="207"/>
      <c r="F13" s="173"/>
      <c r="G13" s="173" t="e">
        <f t="shared" si="2"/>
        <v>#DIV/0!</v>
      </c>
      <c r="H13" s="173" t="e">
        <f t="shared" si="3"/>
        <v>#DIV/0!</v>
      </c>
      <c r="I13" s="135"/>
      <c r="J13" s="135"/>
      <c r="K13" s="135"/>
      <c r="L13" s="135"/>
      <c r="M13" s="136"/>
      <c r="N13" s="136"/>
      <c r="O13" s="136"/>
    </row>
    <row r="14" spans="1:15" x14ac:dyDescent="0.2">
      <c r="A14" s="204" t="s">
        <v>502</v>
      </c>
      <c r="B14" s="205" t="s">
        <v>503</v>
      </c>
      <c r="C14" s="208">
        <f>+C15</f>
        <v>0</v>
      </c>
      <c r="D14" s="216">
        <v>0</v>
      </c>
      <c r="E14" s="216">
        <v>0</v>
      </c>
      <c r="F14" s="208">
        <f>+F15</f>
        <v>0</v>
      </c>
      <c r="G14" s="208" t="e">
        <f t="shared" si="2"/>
        <v>#DIV/0!</v>
      </c>
      <c r="H14" s="208" t="e">
        <f t="shared" si="3"/>
        <v>#DIV/0!</v>
      </c>
      <c r="I14" s="153"/>
      <c r="J14" s="153"/>
      <c r="K14" s="153"/>
      <c r="L14" s="153"/>
      <c r="M14" s="168"/>
      <c r="N14" s="168"/>
      <c r="O14" s="168"/>
    </row>
    <row r="15" spans="1:15" ht="25.5" x14ac:dyDescent="0.2">
      <c r="A15" s="203" t="s">
        <v>504</v>
      </c>
      <c r="B15" s="179" t="s">
        <v>505</v>
      </c>
      <c r="C15" s="206">
        <f>+C16</f>
        <v>0</v>
      </c>
      <c r="D15" s="207"/>
      <c r="E15" s="207"/>
      <c r="F15" s="206">
        <f t="shared" ref="F15" si="5">+F16</f>
        <v>0</v>
      </c>
      <c r="G15" s="177" t="e">
        <f t="shared" si="2"/>
        <v>#DIV/0!</v>
      </c>
      <c r="H15" s="177" t="e">
        <f t="shared" si="3"/>
        <v>#DIV/0!</v>
      </c>
      <c r="I15" s="153"/>
      <c r="J15" s="153"/>
      <c r="K15" s="153"/>
      <c r="L15" s="153"/>
      <c r="M15" s="168"/>
      <c r="N15" s="168"/>
      <c r="O15" s="168"/>
    </row>
    <row r="16" spans="1:15" ht="25.5" x14ac:dyDescent="0.2">
      <c r="A16" s="140" t="s">
        <v>506</v>
      </c>
      <c r="B16" s="137" t="s">
        <v>507</v>
      </c>
      <c r="C16" s="134">
        <v>0</v>
      </c>
      <c r="D16" s="207"/>
      <c r="E16" s="207"/>
      <c r="F16" s="173">
        <v>0</v>
      </c>
      <c r="G16" s="173" t="e">
        <f t="shared" si="2"/>
        <v>#DIV/0!</v>
      </c>
      <c r="H16" s="173" t="e">
        <f t="shared" si="3"/>
        <v>#DIV/0!</v>
      </c>
      <c r="I16" s="135"/>
      <c r="J16" s="135"/>
      <c r="K16" s="135"/>
      <c r="L16" s="135"/>
      <c r="M16" s="136"/>
      <c r="N16" s="136"/>
      <c r="O16" s="136"/>
    </row>
    <row r="17" spans="1:15" x14ac:dyDescent="0.2">
      <c r="A17" s="210" t="s">
        <v>62</v>
      </c>
      <c r="B17" s="211" t="s">
        <v>509</v>
      </c>
      <c r="C17" s="189">
        <f>+C18+C27+C32</f>
        <v>0</v>
      </c>
      <c r="D17" s="190">
        <f>+D18+D27+D32</f>
        <v>0</v>
      </c>
      <c r="E17" s="190">
        <f>+E18+E27+E32</f>
        <v>0</v>
      </c>
      <c r="F17" s="189">
        <f>+F18+F27+F32</f>
        <v>0</v>
      </c>
      <c r="G17" s="212" t="e">
        <f t="shared" si="2"/>
        <v>#DIV/0!</v>
      </c>
      <c r="H17" s="212" t="e">
        <f t="shared" si="3"/>
        <v>#DIV/0!</v>
      </c>
      <c r="I17" s="130"/>
      <c r="J17" s="130"/>
      <c r="K17" s="130"/>
      <c r="L17" s="130"/>
      <c r="M17" s="129"/>
      <c r="N17" s="129"/>
      <c r="O17" s="129"/>
    </row>
    <row r="18" spans="1:15" x14ac:dyDescent="0.2">
      <c r="A18" s="204" t="s">
        <v>64</v>
      </c>
      <c r="B18" s="205" t="s">
        <v>510</v>
      </c>
      <c r="C18" s="213">
        <f>+C19+C22+C24</f>
        <v>0</v>
      </c>
      <c r="D18" s="216">
        <v>0</v>
      </c>
      <c r="E18" s="216">
        <v>0</v>
      </c>
      <c r="F18" s="213">
        <f>+F19+F22+F24</f>
        <v>0</v>
      </c>
      <c r="G18" s="208" t="e">
        <f t="shared" si="2"/>
        <v>#DIV/0!</v>
      </c>
      <c r="H18" s="208" t="e">
        <f t="shared" si="3"/>
        <v>#DIV/0!</v>
      </c>
      <c r="I18" s="153"/>
      <c r="J18" s="153"/>
      <c r="K18" s="153"/>
      <c r="L18" s="153"/>
      <c r="M18" s="168"/>
      <c r="N18" s="168"/>
      <c r="O18" s="168"/>
    </row>
    <row r="19" spans="1:15" ht="25.5" x14ac:dyDescent="0.2">
      <c r="A19" s="203">
        <v>512</v>
      </c>
      <c r="B19" s="179" t="s">
        <v>546</v>
      </c>
      <c r="C19" s="206">
        <f>+C20+C21</f>
        <v>0</v>
      </c>
      <c r="D19" s="207"/>
      <c r="E19" s="207"/>
      <c r="F19" s="206">
        <f>+F20+F21</f>
        <v>0</v>
      </c>
      <c r="G19" s="206" t="e">
        <f t="shared" ref="G19:G26" si="6">+F19/C19*100</f>
        <v>#DIV/0!</v>
      </c>
      <c r="H19" s="206" t="e">
        <f t="shared" ref="H19:H26" si="7">+F19/E19*100</f>
        <v>#DIV/0!</v>
      </c>
      <c r="I19" s="153"/>
      <c r="J19" s="153"/>
      <c r="K19" s="153"/>
      <c r="L19" s="153"/>
      <c r="M19" s="168"/>
      <c r="N19" s="168"/>
      <c r="O19" s="168"/>
    </row>
    <row r="20" spans="1:15" ht="25.5" x14ac:dyDescent="0.2">
      <c r="A20" s="171">
        <v>5121</v>
      </c>
      <c r="B20" s="169" t="s">
        <v>547</v>
      </c>
      <c r="C20" s="172">
        <v>0</v>
      </c>
      <c r="D20" s="207"/>
      <c r="E20" s="207"/>
      <c r="F20" s="173">
        <v>0</v>
      </c>
      <c r="G20" s="173" t="e">
        <f t="shared" si="6"/>
        <v>#DIV/0!</v>
      </c>
      <c r="H20" s="173" t="e">
        <f t="shared" si="7"/>
        <v>#DIV/0!</v>
      </c>
      <c r="I20" s="153"/>
      <c r="J20" s="153"/>
      <c r="K20" s="153"/>
      <c r="L20" s="153"/>
      <c r="M20" s="168"/>
      <c r="N20" s="168"/>
      <c r="O20" s="168"/>
    </row>
    <row r="21" spans="1:15" ht="25.5" x14ac:dyDescent="0.2">
      <c r="A21" s="171">
        <v>5122</v>
      </c>
      <c r="B21" s="169" t="s">
        <v>548</v>
      </c>
      <c r="C21" s="172">
        <v>0</v>
      </c>
      <c r="D21" s="207"/>
      <c r="E21" s="207"/>
      <c r="F21" s="173">
        <v>0</v>
      </c>
      <c r="G21" s="173" t="e">
        <f t="shared" si="6"/>
        <v>#DIV/0!</v>
      </c>
      <c r="H21" s="173" t="e">
        <f t="shared" si="7"/>
        <v>#DIV/0!</v>
      </c>
      <c r="I21" s="153"/>
      <c r="J21" s="153"/>
      <c r="K21" s="153"/>
      <c r="L21" s="153"/>
      <c r="M21" s="168"/>
      <c r="N21" s="168"/>
      <c r="O21" s="168"/>
    </row>
    <row r="22" spans="1:15" x14ac:dyDescent="0.2">
      <c r="A22" s="203">
        <v>514</v>
      </c>
      <c r="B22" s="179" t="s">
        <v>549</v>
      </c>
      <c r="C22" s="206">
        <f>+C23</f>
        <v>0</v>
      </c>
      <c r="D22" s="207"/>
      <c r="E22" s="207"/>
      <c r="F22" s="206">
        <f t="shared" ref="F22" si="8">+F23</f>
        <v>0</v>
      </c>
      <c r="G22" s="206" t="e">
        <f t="shared" si="6"/>
        <v>#DIV/0!</v>
      </c>
      <c r="H22" s="206" t="e">
        <f t="shared" si="7"/>
        <v>#DIV/0!</v>
      </c>
      <c r="I22" s="153"/>
      <c r="J22" s="153"/>
      <c r="K22" s="153"/>
      <c r="L22" s="153"/>
      <c r="M22" s="168"/>
      <c r="N22" s="168"/>
      <c r="O22" s="168"/>
    </row>
    <row r="23" spans="1:15" x14ac:dyDescent="0.2">
      <c r="A23" s="171">
        <v>5141</v>
      </c>
      <c r="B23" s="169" t="s">
        <v>550</v>
      </c>
      <c r="C23" s="172">
        <v>0</v>
      </c>
      <c r="D23" s="207"/>
      <c r="E23" s="207"/>
      <c r="F23" s="173">
        <v>0</v>
      </c>
      <c r="G23" s="173" t="e">
        <f t="shared" si="6"/>
        <v>#DIV/0!</v>
      </c>
      <c r="H23" s="173" t="e">
        <f t="shared" si="7"/>
        <v>#DIV/0!</v>
      </c>
      <c r="I23" s="153"/>
      <c r="J23" s="153"/>
      <c r="K23" s="153"/>
      <c r="L23" s="153"/>
      <c r="M23" s="168"/>
      <c r="N23" s="168"/>
      <c r="O23" s="168"/>
    </row>
    <row r="24" spans="1:15" x14ac:dyDescent="0.2">
      <c r="A24" s="203">
        <v>518</v>
      </c>
      <c r="B24" s="179" t="s">
        <v>551</v>
      </c>
      <c r="C24" s="206">
        <f>+C25+C26</f>
        <v>0</v>
      </c>
      <c r="D24" s="207"/>
      <c r="E24" s="207"/>
      <c r="F24" s="206">
        <f>+F25+F26</f>
        <v>0</v>
      </c>
      <c r="G24" s="206" t="e">
        <f t="shared" si="6"/>
        <v>#DIV/0!</v>
      </c>
      <c r="H24" s="206" t="e">
        <f t="shared" si="7"/>
        <v>#DIV/0!</v>
      </c>
      <c r="I24" s="153"/>
      <c r="J24" s="153"/>
      <c r="K24" s="153"/>
      <c r="L24" s="153"/>
      <c r="M24" s="168"/>
      <c r="N24" s="168"/>
      <c r="O24" s="168"/>
    </row>
    <row r="25" spans="1:15" ht="25.5" x14ac:dyDescent="0.2">
      <c r="A25" s="171">
        <v>5181</v>
      </c>
      <c r="B25" s="169" t="s">
        <v>552</v>
      </c>
      <c r="C25" s="172">
        <v>0</v>
      </c>
      <c r="D25" s="207"/>
      <c r="E25" s="207"/>
      <c r="F25" s="173">
        <v>0</v>
      </c>
      <c r="G25" s="173" t="e">
        <f t="shared" si="6"/>
        <v>#DIV/0!</v>
      </c>
      <c r="H25" s="173" t="e">
        <f t="shared" si="7"/>
        <v>#DIV/0!</v>
      </c>
      <c r="I25" s="153"/>
      <c r="J25" s="153"/>
      <c r="K25" s="153"/>
      <c r="L25" s="153"/>
      <c r="M25" s="168"/>
      <c r="N25" s="168"/>
      <c r="O25" s="168"/>
    </row>
    <row r="26" spans="1:15" x14ac:dyDescent="0.2">
      <c r="A26" s="171">
        <v>5183</v>
      </c>
      <c r="B26" s="169" t="s">
        <v>553</v>
      </c>
      <c r="C26" s="172">
        <v>0</v>
      </c>
      <c r="D26" s="207"/>
      <c r="E26" s="207"/>
      <c r="F26" s="173">
        <v>0</v>
      </c>
      <c r="G26" s="173" t="e">
        <f t="shared" si="6"/>
        <v>#DIV/0!</v>
      </c>
      <c r="H26" s="173" t="e">
        <f t="shared" si="7"/>
        <v>#DIV/0!</v>
      </c>
      <c r="I26" s="153"/>
      <c r="J26" s="153"/>
      <c r="K26" s="153"/>
      <c r="L26" s="153"/>
      <c r="M26" s="168"/>
      <c r="N26" s="168"/>
      <c r="O26" s="168"/>
    </row>
    <row r="27" spans="1:15" x14ac:dyDescent="0.2">
      <c r="A27" s="204" t="s">
        <v>511</v>
      </c>
      <c r="B27" s="205" t="s">
        <v>512</v>
      </c>
      <c r="C27" s="213">
        <f>+C28+C30</f>
        <v>0</v>
      </c>
      <c r="D27" s="216">
        <v>0</v>
      </c>
      <c r="E27" s="216">
        <v>0</v>
      </c>
      <c r="F27" s="213">
        <f>+F28+F30</f>
        <v>0</v>
      </c>
      <c r="G27" s="208" t="e">
        <f t="shared" si="2"/>
        <v>#DIV/0!</v>
      </c>
      <c r="H27" s="208" t="e">
        <f t="shared" si="3"/>
        <v>#DIV/0!</v>
      </c>
      <c r="I27" s="153"/>
      <c r="J27" s="153"/>
      <c r="K27" s="153"/>
      <c r="L27" s="153"/>
      <c r="M27" s="168"/>
      <c r="N27" s="168"/>
      <c r="O27" s="168"/>
    </row>
    <row r="28" spans="1:15" ht="25.5" x14ac:dyDescent="0.2">
      <c r="A28" s="203" t="s">
        <v>513</v>
      </c>
      <c r="B28" s="179" t="s">
        <v>514</v>
      </c>
      <c r="C28" s="206">
        <f>+C29</f>
        <v>0</v>
      </c>
      <c r="D28" s="207"/>
      <c r="E28" s="207"/>
      <c r="F28" s="206">
        <f t="shared" ref="F28" si="9">+F29</f>
        <v>0</v>
      </c>
      <c r="G28" s="177" t="e">
        <f t="shared" si="2"/>
        <v>#DIV/0!</v>
      </c>
      <c r="H28" s="177" t="e">
        <f t="shared" si="3"/>
        <v>#DIV/0!</v>
      </c>
      <c r="I28" s="153"/>
      <c r="J28" s="153"/>
      <c r="K28" s="153"/>
      <c r="L28" s="153"/>
      <c r="M28" s="168"/>
      <c r="N28" s="168"/>
      <c r="O28" s="168"/>
    </row>
    <row r="29" spans="1:15" ht="25.5" x14ac:dyDescent="0.2">
      <c r="A29" s="140" t="s">
        <v>515</v>
      </c>
      <c r="B29" s="137" t="s">
        <v>514</v>
      </c>
      <c r="C29" s="141">
        <v>0</v>
      </c>
      <c r="D29" s="207"/>
      <c r="E29" s="207"/>
      <c r="F29" s="173">
        <v>0</v>
      </c>
      <c r="G29" s="173" t="e">
        <f t="shared" si="2"/>
        <v>#DIV/0!</v>
      </c>
      <c r="H29" s="173" t="e">
        <f t="shared" si="3"/>
        <v>#DIV/0!</v>
      </c>
      <c r="I29" s="135"/>
      <c r="J29" s="135"/>
      <c r="K29" s="135"/>
      <c r="L29" s="135"/>
      <c r="M29" s="136"/>
      <c r="N29" s="136"/>
      <c r="O29" s="136"/>
    </row>
    <row r="30" spans="1:15" ht="25.5" x14ac:dyDescent="0.2">
      <c r="A30" s="203" t="s">
        <v>516</v>
      </c>
      <c r="B30" s="179" t="s">
        <v>517</v>
      </c>
      <c r="C30" s="206">
        <f>+C31</f>
        <v>0</v>
      </c>
      <c r="D30" s="207"/>
      <c r="E30" s="207"/>
      <c r="F30" s="206">
        <f t="shared" ref="F30" si="10">+F31</f>
        <v>0</v>
      </c>
      <c r="G30" s="177" t="e">
        <f t="shared" si="2"/>
        <v>#DIV/0!</v>
      </c>
      <c r="H30" s="177" t="e">
        <f t="shared" si="3"/>
        <v>#DIV/0!</v>
      </c>
      <c r="I30" s="153"/>
      <c r="J30" s="153"/>
      <c r="K30" s="153"/>
      <c r="L30" s="153"/>
      <c r="M30" s="168"/>
      <c r="N30" s="168"/>
      <c r="O30" s="168"/>
    </row>
    <row r="31" spans="1:15" ht="25.5" x14ac:dyDescent="0.2">
      <c r="A31" s="140" t="s">
        <v>518</v>
      </c>
      <c r="B31" s="137" t="s">
        <v>519</v>
      </c>
      <c r="C31" s="134">
        <v>0</v>
      </c>
      <c r="D31" s="207"/>
      <c r="E31" s="207"/>
      <c r="F31" s="173">
        <v>0</v>
      </c>
      <c r="G31" s="173" t="e">
        <f t="shared" si="2"/>
        <v>#DIV/0!</v>
      </c>
      <c r="H31" s="173" t="e">
        <f t="shared" si="3"/>
        <v>#DIV/0!</v>
      </c>
      <c r="I31" s="135"/>
      <c r="J31" s="135"/>
      <c r="K31" s="135"/>
      <c r="L31" s="135"/>
      <c r="M31" s="136"/>
      <c r="N31" s="136"/>
      <c r="O31" s="136"/>
    </row>
    <row r="32" spans="1:15" x14ac:dyDescent="0.2">
      <c r="A32" s="204" t="s">
        <v>520</v>
      </c>
      <c r="B32" s="205" t="s">
        <v>521</v>
      </c>
      <c r="C32" s="208">
        <f>+C33+C35</f>
        <v>0</v>
      </c>
      <c r="D32" s="216">
        <v>0</v>
      </c>
      <c r="E32" s="216">
        <v>0</v>
      </c>
      <c r="F32" s="208">
        <f>+F33+F35</f>
        <v>0</v>
      </c>
      <c r="G32" s="208" t="e">
        <f>+F32/C32*100</f>
        <v>#DIV/0!</v>
      </c>
      <c r="H32" s="208" t="e">
        <f t="shared" si="3"/>
        <v>#DIV/0!</v>
      </c>
      <c r="I32" s="135"/>
      <c r="J32" s="135"/>
      <c r="K32" s="135"/>
      <c r="L32" s="135"/>
      <c r="M32" s="136"/>
      <c r="N32" s="136"/>
      <c r="O32" s="136"/>
    </row>
    <row r="33" spans="1:15" ht="25.5" x14ac:dyDescent="0.2">
      <c r="A33" s="203" t="s">
        <v>522</v>
      </c>
      <c r="B33" s="179" t="s">
        <v>523</v>
      </c>
      <c r="C33" s="206">
        <f>+C34</f>
        <v>0</v>
      </c>
      <c r="D33" s="207"/>
      <c r="E33" s="207"/>
      <c r="F33" s="206">
        <f t="shared" ref="F33" si="11">+F34</f>
        <v>0</v>
      </c>
      <c r="G33" s="177" t="e">
        <f t="shared" si="2"/>
        <v>#DIV/0!</v>
      </c>
      <c r="H33" s="177" t="e">
        <f t="shared" si="3"/>
        <v>#DIV/0!</v>
      </c>
      <c r="I33" s="135"/>
      <c r="J33" s="135"/>
      <c r="K33" s="135"/>
      <c r="L33" s="135"/>
      <c r="M33" s="136"/>
      <c r="N33" s="136"/>
      <c r="O33" s="136"/>
    </row>
    <row r="34" spans="1:15" ht="25.5" x14ac:dyDescent="0.2">
      <c r="A34" s="140" t="s">
        <v>524</v>
      </c>
      <c r="B34" s="137" t="s">
        <v>525</v>
      </c>
      <c r="C34" s="134">
        <v>0</v>
      </c>
      <c r="D34" s="207"/>
      <c r="E34" s="207"/>
      <c r="F34" s="173">
        <v>0</v>
      </c>
      <c r="G34" s="173" t="e">
        <f t="shared" si="2"/>
        <v>#DIV/0!</v>
      </c>
      <c r="H34" s="173" t="e">
        <f t="shared" si="3"/>
        <v>#DIV/0!</v>
      </c>
      <c r="I34" s="136"/>
      <c r="J34" s="136"/>
      <c r="K34" s="136"/>
      <c r="L34" s="136"/>
      <c r="M34" s="136"/>
      <c r="N34" s="136"/>
      <c r="O34" s="136"/>
    </row>
    <row r="35" spans="1:15" ht="25.5" x14ac:dyDescent="0.2">
      <c r="A35" s="203" t="s">
        <v>526</v>
      </c>
      <c r="B35" s="179" t="s">
        <v>527</v>
      </c>
      <c r="C35" s="206">
        <f>+C36</f>
        <v>0</v>
      </c>
      <c r="D35" s="207"/>
      <c r="E35" s="207"/>
      <c r="F35" s="206">
        <f t="shared" ref="F35" si="12">+F36</f>
        <v>0</v>
      </c>
      <c r="G35" s="206" t="e">
        <f t="shared" si="2"/>
        <v>#DIV/0!</v>
      </c>
      <c r="H35" s="206" t="e">
        <f t="shared" si="3"/>
        <v>#DIV/0!</v>
      </c>
      <c r="I35" s="136"/>
      <c r="J35" s="136"/>
      <c r="K35" s="136"/>
      <c r="L35" s="136"/>
      <c r="M35" s="136"/>
      <c r="N35" s="136"/>
      <c r="O35" s="136"/>
    </row>
    <row r="36" spans="1:15" ht="25.5" x14ac:dyDescent="0.2">
      <c r="A36" s="140" t="s">
        <v>528</v>
      </c>
      <c r="B36" s="137" t="s">
        <v>529</v>
      </c>
      <c r="C36" s="134">
        <v>0</v>
      </c>
      <c r="D36" s="207"/>
      <c r="E36" s="207"/>
      <c r="F36" s="173">
        <v>0</v>
      </c>
      <c r="G36" s="173" t="e">
        <f t="shared" si="2"/>
        <v>#DIV/0!</v>
      </c>
      <c r="H36" s="173" t="e">
        <f t="shared" si="3"/>
        <v>#DIV/0!</v>
      </c>
      <c r="I36" s="136"/>
      <c r="J36" s="136"/>
      <c r="K36" s="136"/>
      <c r="L36" s="136"/>
      <c r="M36" s="136"/>
      <c r="N36" s="136"/>
      <c r="O36" s="136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A13" sqref="A13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2"/>
      <c r="M1" s="142"/>
      <c r="N1" s="142"/>
      <c r="O1" s="142"/>
    </row>
    <row r="2" spans="1:15" ht="15.75" hidden="1" customHeight="1" x14ac:dyDescent="0.2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142"/>
      <c r="M2" s="142"/>
      <c r="N2" s="142"/>
      <c r="O2" s="142"/>
    </row>
    <row r="3" spans="1:15" ht="18" hidden="1" customHeight="1" x14ac:dyDescent="0.2">
      <c r="A3" s="149"/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42"/>
      <c r="M3" s="142"/>
      <c r="N3" s="142"/>
      <c r="O3" s="142"/>
    </row>
    <row r="4" spans="1:15" ht="18" x14ac:dyDescent="0.2">
      <c r="A4" s="149"/>
      <c r="B4" s="149"/>
      <c r="C4" s="149"/>
      <c r="D4" s="149"/>
      <c r="E4" s="149"/>
      <c r="F4" s="149"/>
      <c r="G4" s="149"/>
      <c r="H4" s="149"/>
      <c r="I4" s="150"/>
      <c r="J4" s="150"/>
      <c r="K4" s="150"/>
      <c r="L4" s="142"/>
      <c r="M4" s="142"/>
      <c r="N4" s="142"/>
      <c r="O4" s="142"/>
    </row>
    <row r="5" spans="1:15" ht="15.75" customHeight="1" x14ac:dyDescent="0.2">
      <c r="A5" s="393" t="s">
        <v>259</v>
      </c>
      <c r="B5" s="393"/>
      <c r="C5" s="393"/>
      <c r="D5" s="393"/>
      <c r="E5" s="393"/>
      <c r="F5" s="393"/>
      <c r="G5" s="393"/>
      <c r="H5" s="393"/>
      <c r="I5" s="38"/>
      <c r="J5" s="38"/>
      <c r="K5" s="38"/>
      <c r="L5" s="142"/>
      <c r="M5" s="142"/>
      <c r="N5" s="142"/>
      <c r="O5" s="142"/>
    </row>
    <row r="6" spans="1:15" ht="18" x14ac:dyDescent="0.2">
      <c r="A6" s="149"/>
      <c r="B6" s="149"/>
      <c r="C6" s="149"/>
      <c r="D6" s="149"/>
      <c r="E6" s="149"/>
      <c r="F6" s="149"/>
      <c r="G6" s="149"/>
      <c r="H6" s="149"/>
      <c r="I6" s="150"/>
      <c r="J6" s="150"/>
      <c r="K6" s="150"/>
      <c r="L6" s="142"/>
      <c r="M6" s="142"/>
      <c r="N6" s="142"/>
      <c r="O6" s="142"/>
    </row>
    <row r="7" spans="1:15" s="33" customFormat="1" ht="57" x14ac:dyDescent="0.25">
      <c r="A7" s="392" t="s">
        <v>3</v>
      </c>
      <c r="B7" s="392"/>
      <c r="C7" s="161" t="s">
        <v>562</v>
      </c>
      <c r="D7" s="161" t="s">
        <v>563</v>
      </c>
      <c r="E7" s="161" t="s">
        <v>564</v>
      </c>
      <c r="F7" s="161" t="s">
        <v>565</v>
      </c>
      <c r="G7" s="156" t="s">
        <v>260</v>
      </c>
      <c r="H7" s="156" t="s">
        <v>261</v>
      </c>
      <c r="I7" s="143"/>
      <c r="J7" s="143"/>
      <c r="K7" s="143"/>
      <c r="L7" s="143"/>
      <c r="M7" s="143"/>
      <c r="N7" s="143"/>
      <c r="O7" s="143"/>
    </row>
    <row r="8" spans="1:15" s="34" customFormat="1" x14ac:dyDescent="0.2">
      <c r="A8" s="391">
        <v>1</v>
      </c>
      <c r="B8" s="391"/>
      <c r="C8" s="157">
        <v>2</v>
      </c>
      <c r="D8" s="157">
        <v>3</v>
      </c>
      <c r="E8" s="157">
        <v>4.3333333333333304</v>
      </c>
      <c r="F8" s="157">
        <v>5.0833333333333304</v>
      </c>
      <c r="G8" s="157">
        <v>6</v>
      </c>
      <c r="H8" s="157">
        <v>7</v>
      </c>
      <c r="I8" s="145"/>
      <c r="J8" s="145"/>
      <c r="K8" s="145"/>
      <c r="L8" s="145"/>
      <c r="M8" s="144"/>
      <c r="N8" s="144"/>
      <c r="O8" s="144"/>
    </row>
    <row r="9" spans="1:15" ht="12.75" customHeight="1" x14ac:dyDescent="0.2">
      <c r="A9" s="158" t="s">
        <v>256</v>
      </c>
      <c r="B9" s="158" t="s">
        <v>26</v>
      </c>
      <c r="C9" s="159" t="s">
        <v>28</v>
      </c>
      <c r="D9" s="159" t="s">
        <v>28</v>
      </c>
      <c r="E9" s="159" t="s">
        <v>28</v>
      </c>
      <c r="F9" s="159" t="s">
        <v>28</v>
      </c>
      <c r="G9" s="159" t="s">
        <v>26</v>
      </c>
      <c r="H9" s="159" t="s">
        <v>26</v>
      </c>
      <c r="I9" s="153"/>
      <c r="J9" s="153"/>
      <c r="K9" s="153"/>
      <c r="L9" s="153"/>
      <c r="M9" s="154"/>
      <c r="N9" s="154"/>
      <c r="O9" s="154"/>
    </row>
    <row r="10" spans="1:15" x14ac:dyDescent="0.2">
      <c r="A10" s="204" t="s">
        <v>257</v>
      </c>
      <c r="B10" s="205" t="s">
        <v>26</v>
      </c>
      <c r="C10" s="208">
        <f t="shared" ref="C10:F11" si="0">+C11</f>
        <v>0</v>
      </c>
      <c r="D10" s="209">
        <f t="shared" si="0"/>
        <v>0</v>
      </c>
      <c r="E10" s="209">
        <f t="shared" si="0"/>
        <v>0</v>
      </c>
      <c r="F10" s="208">
        <f t="shared" si="0"/>
        <v>0</v>
      </c>
      <c r="G10" s="208" t="e">
        <f t="shared" ref="G10:G19" si="1">+F10/C10*100</f>
        <v>#DIV/0!</v>
      </c>
      <c r="H10" s="208" t="e">
        <f t="shared" ref="H10:H19" si="2">+F10/E10*100</f>
        <v>#DIV/0!</v>
      </c>
      <c r="I10" s="153"/>
      <c r="J10" s="153"/>
      <c r="K10" s="153"/>
      <c r="L10" s="153"/>
      <c r="M10" s="168"/>
      <c r="N10" s="168"/>
      <c r="O10" s="168"/>
    </row>
    <row r="11" spans="1:15" x14ac:dyDescent="0.2">
      <c r="A11" s="203" t="s">
        <v>57</v>
      </c>
      <c r="B11" s="179" t="s">
        <v>58</v>
      </c>
      <c r="C11" s="206">
        <f t="shared" si="0"/>
        <v>0</v>
      </c>
      <c r="D11" s="207">
        <f t="shared" si="0"/>
        <v>0</v>
      </c>
      <c r="E11" s="207">
        <f t="shared" si="0"/>
        <v>0</v>
      </c>
      <c r="F11" s="206">
        <f t="shared" si="0"/>
        <v>0</v>
      </c>
      <c r="G11" s="206" t="e">
        <f t="shared" si="1"/>
        <v>#DIV/0!</v>
      </c>
      <c r="H11" s="206" t="e">
        <f t="shared" si="2"/>
        <v>#DIV/0!</v>
      </c>
      <c r="I11" s="153"/>
      <c r="J11" s="153"/>
      <c r="K11" s="153"/>
      <c r="L11" s="153"/>
      <c r="M11" s="168"/>
      <c r="N11" s="168"/>
      <c r="O11" s="168"/>
    </row>
    <row r="12" spans="1:15" x14ac:dyDescent="0.2">
      <c r="A12" s="171" t="s">
        <v>60</v>
      </c>
      <c r="B12" s="155" t="s">
        <v>61</v>
      </c>
      <c r="C12" s="151"/>
      <c r="D12" s="152"/>
      <c r="E12" s="152"/>
      <c r="F12" s="151"/>
      <c r="G12" s="173" t="e">
        <f t="shared" si="1"/>
        <v>#DIV/0!</v>
      </c>
      <c r="H12" s="173" t="e">
        <f t="shared" si="2"/>
        <v>#DIV/0!</v>
      </c>
      <c r="I12" s="153"/>
      <c r="J12" s="153"/>
      <c r="K12" s="153"/>
      <c r="L12" s="153"/>
      <c r="M12" s="154"/>
      <c r="N12" s="154"/>
      <c r="O12" s="154"/>
    </row>
    <row r="13" spans="1:15" x14ac:dyDescent="0.2">
      <c r="A13" s="204" t="s">
        <v>508</v>
      </c>
      <c r="B13" s="205" t="s">
        <v>26</v>
      </c>
      <c r="C13" s="208">
        <f>+C14+C16+C18</f>
        <v>0</v>
      </c>
      <c r="D13" s="209">
        <f>+D14+D16+D18</f>
        <v>0</v>
      </c>
      <c r="E13" s="209">
        <f>+E14+E16+E18</f>
        <v>0</v>
      </c>
      <c r="F13" s="208">
        <f>+F14+F16+F18</f>
        <v>0</v>
      </c>
      <c r="G13" s="208" t="e">
        <f t="shared" si="1"/>
        <v>#DIV/0!</v>
      </c>
      <c r="H13" s="208" t="e">
        <f t="shared" si="2"/>
        <v>#DIV/0!</v>
      </c>
      <c r="I13" s="153"/>
      <c r="J13" s="153"/>
      <c r="K13" s="153"/>
      <c r="L13" s="153"/>
      <c r="M13" s="168"/>
      <c r="N13" s="168"/>
      <c r="O13" s="168"/>
    </row>
    <row r="14" spans="1:15" x14ac:dyDescent="0.2">
      <c r="A14" s="203" t="s">
        <v>81</v>
      </c>
      <c r="B14" s="179" t="s">
        <v>485</v>
      </c>
      <c r="C14" s="206">
        <f>+C15</f>
        <v>0</v>
      </c>
      <c r="D14" s="207">
        <f>+D15</f>
        <v>0</v>
      </c>
      <c r="E14" s="207">
        <f>+E15</f>
        <v>0</v>
      </c>
      <c r="F14" s="206">
        <f>+F15</f>
        <v>0</v>
      </c>
      <c r="G14" s="206" t="e">
        <f t="shared" si="1"/>
        <v>#DIV/0!</v>
      </c>
      <c r="H14" s="206" t="e">
        <f t="shared" si="2"/>
        <v>#DIV/0!</v>
      </c>
      <c r="I14" s="153"/>
      <c r="J14" s="153"/>
      <c r="K14" s="153"/>
      <c r="L14" s="153"/>
      <c r="M14" s="168"/>
      <c r="N14" s="168"/>
      <c r="O14" s="168"/>
    </row>
    <row r="15" spans="1:15" x14ac:dyDescent="0.2">
      <c r="A15" s="171" t="s">
        <v>83</v>
      </c>
      <c r="B15" s="155" t="s">
        <v>485</v>
      </c>
      <c r="C15" s="151"/>
      <c r="D15" s="152"/>
      <c r="E15" s="152"/>
      <c r="F15" s="151"/>
      <c r="G15" s="173" t="e">
        <f t="shared" si="1"/>
        <v>#DIV/0!</v>
      </c>
      <c r="H15" s="173" t="e">
        <f t="shared" si="2"/>
        <v>#DIV/0!</v>
      </c>
      <c r="I15" s="154"/>
      <c r="J15" s="154"/>
      <c r="K15" s="154"/>
      <c r="L15" s="154"/>
      <c r="M15" s="154"/>
      <c r="N15" s="154"/>
      <c r="O15" s="154"/>
    </row>
    <row r="16" spans="1:15" x14ac:dyDescent="0.2">
      <c r="A16" s="203" t="s">
        <v>57</v>
      </c>
      <c r="B16" s="179" t="s">
        <v>58</v>
      </c>
      <c r="C16" s="206">
        <f>+C17</f>
        <v>0</v>
      </c>
      <c r="D16" s="207">
        <f>+D17</f>
        <v>0</v>
      </c>
      <c r="E16" s="207">
        <f>+E17</f>
        <v>0</v>
      </c>
      <c r="F16" s="206">
        <f>+F17</f>
        <v>0</v>
      </c>
      <c r="G16" s="206" t="e">
        <f t="shared" si="1"/>
        <v>#DIV/0!</v>
      </c>
      <c r="H16" s="206" t="e">
        <f t="shared" si="2"/>
        <v>#DIV/0!</v>
      </c>
      <c r="I16" s="153"/>
      <c r="J16" s="153"/>
      <c r="K16" s="153"/>
      <c r="L16" s="153"/>
      <c r="M16" s="168"/>
      <c r="N16" s="168"/>
      <c r="O16" s="168"/>
    </row>
    <row r="17" spans="1:15" x14ac:dyDescent="0.2">
      <c r="A17" s="171" t="s">
        <v>60</v>
      </c>
      <c r="B17" s="155" t="s">
        <v>61</v>
      </c>
      <c r="C17" s="151"/>
      <c r="D17" s="152"/>
      <c r="E17" s="152"/>
      <c r="F17" s="151"/>
      <c r="G17" s="173" t="e">
        <f t="shared" si="1"/>
        <v>#DIV/0!</v>
      </c>
      <c r="H17" s="173" t="e">
        <f t="shared" si="2"/>
        <v>#DIV/0!</v>
      </c>
      <c r="I17" s="154"/>
      <c r="J17" s="154"/>
      <c r="K17" s="154"/>
      <c r="L17" s="154"/>
      <c r="M17" s="154"/>
      <c r="N17" s="154"/>
      <c r="O17" s="154"/>
    </row>
    <row r="18" spans="1:15" x14ac:dyDescent="0.2">
      <c r="A18" s="203" t="s">
        <v>62</v>
      </c>
      <c r="B18" s="179" t="s">
        <v>63</v>
      </c>
      <c r="C18" s="206">
        <f>+C19</f>
        <v>0</v>
      </c>
      <c r="D18" s="207">
        <f>+D19</f>
        <v>0</v>
      </c>
      <c r="E18" s="207">
        <f>+E19</f>
        <v>0</v>
      </c>
      <c r="F18" s="206">
        <f>+F19</f>
        <v>0</v>
      </c>
      <c r="G18" s="206" t="e">
        <f t="shared" si="1"/>
        <v>#DIV/0!</v>
      </c>
      <c r="H18" s="206" t="e">
        <f t="shared" si="2"/>
        <v>#DIV/0!</v>
      </c>
      <c r="I18" s="153"/>
      <c r="J18" s="153"/>
      <c r="K18" s="153"/>
      <c r="L18" s="153"/>
      <c r="M18" s="168"/>
      <c r="N18" s="168"/>
      <c r="O18" s="168"/>
    </row>
    <row r="19" spans="1:15" x14ac:dyDescent="0.2">
      <c r="A19" s="171" t="s">
        <v>75</v>
      </c>
      <c r="B19" s="155" t="s">
        <v>76</v>
      </c>
      <c r="C19" s="151"/>
      <c r="D19" s="152"/>
      <c r="E19" s="152"/>
      <c r="F19" s="151"/>
      <c r="G19" s="173" t="e">
        <f t="shared" si="1"/>
        <v>#DIV/0!</v>
      </c>
      <c r="H19" s="173" t="e">
        <f t="shared" si="2"/>
        <v>#DIV/0!</v>
      </c>
      <c r="I19" s="154"/>
      <c r="J19" s="154"/>
      <c r="K19" s="154"/>
      <c r="L19" s="154"/>
      <c r="M19" s="154"/>
      <c r="N19" s="154"/>
      <c r="O19" s="154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D4A9-985C-48AE-AF97-258C0FDB29A7}">
  <dimension ref="A1:I238"/>
  <sheetViews>
    <sheetView tabSelected="1" workbookViewId="0">
      <selection activeCell="C11" sqref="C11"/>
    </sheetView>
  </sheetViews>
  <sheetFormatPr defaultColWidth="9.140625" defaultRowHeight="15.75" x14ac:dyDescent="0.25"/>
  <cols>
    <col min="1" max="1" width="9.7109375" style="354" customWidth="1"/>
    <col min="2" max="2" width="59.140625" style="354" customWidth="1"/>
    <col min="3" max="3" width="14.85546875" style="354" customWidth="1"/>
    <col min="4" max="4" width="20.85546875" style="354" customWidth="1"/>
    <col min="5" max="5" width="12.85546875" style="219" customWidth="1"/>
    <col min="6" max="7" width="15.140625" style="219" customWidth="1"/>
    <col min="8" max="9" width="10.7109375" style="219" bestFit="1" customWidth="1"/>
    <col min="10" max="10" width="10.28515625" style="219" bestFit="1" customWidth="1"/>
    <col min="11" max="11" width="11.85546875" style="219" bestFit="1" customWidth="1"/>
    <col min="12" max="12" width="15.42578125" style="219" customWidth="1"/>
    <col min="13" max="16384" width="9.140625" style="219"/>
  </cols>
  <sheetData>
    <row r="1" spans="1:7" ht="15.75" customHeight="1" x14ac:dyDescent="0.25">
      <c r="A1" s="394" t="s">
        <v>595</v>
      </c>
      <c r="B1" s="394"/>
      <c r="C1" s="394"/>
      <c r="D1" s="394"/>
      <c r="E1" s="394"/>
      <c r="F1" s="217"/>
      <c r="G1" s="218"/>
    </row>
    <row r="2" spans="1:7" s="220" customFormat="1" ht="15.75" customHeight="1" x14ac:dyDescent="0.25">
      <c r="A2" s="394" t="s">
        <v>530</v>
      </c>
      <c r="B2" s="394"/>
      <c r="C2" s="394"/>
      <c r="D2" s="394"/>
      <c r="E2" s="394"/>
    </row>
    <row r="3" spans="1:7" s="224" customFormat="1" x14ac:dyDescent="0.25">
      <c r="A3" s="221"/>
      <c r="B3" s="221"/>
      <c r="C3" s="222"/>
      <c r="D3" s="222"/>
      <c r="E3" s="223"/>
      <c r="F3" s="223"/>
      <c r="G3" s="223"/>
    </row>
    <row r="4" spans="1:7" s="224" customFormat="1" ht="47.25" x14ac:dyDescent="0.25">
      <c r="A4" s="225" t="s">
        <v>567</v>
      </c>
      <c r="B4" s="225" t="s">
        <v>568</v>
      </c>
      <c r="C4" s="226" t="s">
        <v>590</v>
      </c>
      <c r="D4" s="226" t="s">
        <v>591</v>
      </c>
      <c r="E4" s="226" t="s">
        <v>569</v>
      </c>
      <c r="F4" s="223"/>
      <c r="G4" s="223"/>
    </row>
    <row r="5" spans="1:7" s="230" customFormat="1" ht="11.25" x14ac:dyDescent="0.2">
      <c r="A5" s="395">
        <v>1</v>
      </c>
      <c r="B5" s="395"/>
      <c r="C5" s="227">
        <v>2</v>
      </c>
      <c r="D5" s="227">
        <v>3</v>
      </c>
      <c r="E5" s="228" t="s">
        <v>570</v>
      </c>
      <c r="F5" s="229"/>
      <c r="G5" s="229"/>
    </row>
    <row r="6" spans="1:7" s="224" customFormat="1" x14ac:dyDescent="0.25">
      <c r="A6" s="231" t="s">
        <v>571</v>
      </c>
      <c r="B6" s="232" t="s">
        <v>572</v>
      </c>
      <c r="C6" s="233">
        <f>C7+C26+C73+C163+C188+C194+C233</f>
        <v>5476275</v>
      </c>
      <c r="D6" s="233">
        <f>D7+D26+D73+D163+D188+D194</f>
        <v>2727429.2700000005</v>
      </c>
      <c r="E6" s="233">
        <f>SUM(D6/C6*100)</f>
        <v>49.804461426791029</v>
      </c>
      <c r="F6" s="223"/>
      <c r="G6" s="223"/>
    </row>
    <row r="7" spans="1:7" s="224" customFormat="1" x14ac:dyDescent="0.25">
      <c r="A7" s="234" t="s">
        <v>531</v>
      </c>
      <c r="B7" s="235" t="s">
        <v>585</v>
      </c>
      <c r="C7" s="236">
        <f>C8</f>
        <v>3695268</v>
      </c>
      <c r="D7" s="236">
        <f>D8</f>
        <v>1960737.1700000002</v>
      </c>
      <c r="E7" s="236">
        <f>SUM(D7/C7*100)</f>
        <v>53.060756892328243</v>
      </c>
      <c r="F7" s="223"/>
      <c r="G7" s="223"/>
    </row>
    <row r="8" spans="1:7" s="240" customFormat="1" ht="15" customHeight="1" x14ac:dyDescent="0.25">
      <c r="A8" s="237">
        <v>11</v>
      </c>
      <c r="B8" s="237" t="s">
        <v>55</v>
      </c>
      <c r="C8" s="238">
        <f>SUM(C10,C17)</f>
        <v>3695268</v>
      </c>
      <c r="D8" s="238">
        <f>SUM(D9)</f>
        <v>1960737.1700000002</v>
      </c>
      <c r="E8" s="238">
        <f>SUM(D8/C8*100)</f>
        <v>53.060756892328243</v>
      </c>
      <c r="F8" s="223"/>
      <c r="G8" s="239"/>
    </row>
    <row r="9" spans="1:7" s="244" customFormat="1" x14ac:dyDescent="0.25">
      <c r="A9" s="241">
        <v>3</v>
      </c>
      <c r="B9" s="242" t="s">
        <v>82</v>
      </c>
      <c r="C9" s="243">
        <f>C10+C17</f>
        <v>3695268</v>
      </c>
      <c r="D9" s="243">
        <f>SUM(D10,D17)</f>
        <v>1960737.1700000002</v>
      </c>
      <c r="E9" s="243">
        <f>SUM(D9/C9*100)</f>
        <v>53.060756892328243</v>
      </c>
      <c r="F9" s="223"/>
    </row>
    <row r="10" spans="1:7" s="224" customFormat="1" ht="14.25" customHeight="1" x14ac:dyDescent="0.25">
      <c r="A10" s="245">
        <v>31</v>
      </c>
      <c r="B10" s="246" t="s">
        <v>84</v>
      </c>
      <c r="C10" s="247">
        <f>C11+C13+C15</f>
        <v>3642891</v>
      </c>
      <c r="D10" s="247">
        <f>D11+D13+D15</f>
        <v>1938733.58</v>
      </c>
      <c r="E10" s="248">
        <f>SUM(D10/C10*100)</f>
        <v>53.219642860574204</v>
      </c>
      <c r="F10" s="223"/>
      <c r="G10" s="223"/>
    </row>
    <row r="11" spans="1:7" s="254" customFormat="1" ht="14.25" customHeight="1" x14ac:dyDescent="0.25">
      <c r="A11" s="249">
        <v>311</v>
      </c>
      <c r="B11" s="250" t="s">
        <v>573</v>
      </c>
      <c r="C11" s="251">
        <f>C12</f>
        <v>3067598</v>
      </c>
      <c r="D11" s="251">
        <f>SUM(D12)</f>
        <v>1618307.25</v>
      </c>
      <c r="E11" s="252">
        <f t="shared" ref="E11:E25" si="0">SUM(D11/C11*100)</f>
        <v>52.754867163168051</v>
      </c>
      <c r="F11" s="223"/>
      <c r="G11" s="253"/>
    </row>
    <row r="12" spans="1:7" ht="14.25" customHeight="1" x14ac:dyDescent="0.25">
      <c r="A12" s="255">
        <v>3111</v>
      </c>
      <c r="B12" s="256" t="s">
        <v>88</v>
      </c>
      <c r="C12" s="257">
        <v>3067598</v>
      </c>
      <c r="D12" s="257">
        <v>1618307.25</v>
      </c>
      <c r="E12" s="258">
        <f t="shared" si="0"/>
        <v>52.754867163168051</v>
      </c>
      <c r="F12" s="223"/>
      <c r="G12" s="259"/>
    </row>
    <row r="13" spans="1:7" ht="14.25" customHeight="1" x14ac:dyDescent="0.25">
      <c r="A13" s="260">
        <v>312</v>
      </c>
      <c r="B13" s="261" t="s">
        <v>92</v>
      </c>
      <c r="C13" s="262">
        <f>C14</f>
        <v>84338</v>
      </c>
      <c r="D13" s="262">
        <f>D14</f>
        <v>53284.59</v>
      </c>
      <c r="E13" s="252">
        <f t="shared" si="0"/>
        <v>63.179812184306009</v>
      </c>
      <c r="F13" s="223"/>
      <c r="G13" s="259"/>
    </row>
    <row r="14" spans="1:7" ht="14.25" customHeight="1" x14ac:dyDescent="0.25">
      <c r="A14" s="255">
        <v>3121</v>
      </c>
      <c r="B14" s="256" t="s">
        <v>92</v>
      </c>
      <c r="C14" s="257">
        <v>84338</v>
      </c>
      <c r="D14" s="257">
        <v>53284.59</v>
      </c>
      <c r="E14" s="258">
        <f t="shared" si="0"/>
        <v>63.179812184306009</v>
      </c>
      <c r="F14" s="223"/>
      <c r="G14" s="259"/>
    </row>
    <row r="15" spans="1:7" s="254" customFormat="1" ht="14.25" customHeight="1" x14ac:dyDescent="0.25">
      <c r="A15" s="249">
        <v>313</v>
      </c>
      <c r="B15" s="250" t="s">
        <v>95</v>
      </c>
      <c r="C15" s="263">
        <f>C16</f>
        <v>490955</v>
      </c>
      <c r="D15" s="263">
        <f>SUM(D16:D16)</f>
        <v>267141.74</v>
      </c>
      <c r="E15" s="252">
        <f t="shared" si="0"/>
        <v>54.412673259260011</v>
      </c>
      <c r="F15" s="223"/>
      <c r="G15" s="253"/>
    </row>
    <row r="16" spans="1:7" ht="14.25" customHeight="1" x14ac:dyDescent="0.25">
      <c r="A16" s="255">
        <v>3132</v>
      </c>
      <c r="B16" s="256" t="s">
        <v>97</v>
      </c>
      <c r="C16" s="257">
        <v>490955</v>
      </c>
      <c r="D16" s="257">
        <v>267141.74</v>
      </c>
      <c r="E16" s="258">
        <f t="shared" si="0"/>
        <v>54.412673259260011</v>
      </c>
      <c r="F16" s="223"/>
      <c r="G16" s="259"/>
    </row>
    <row r="17" spans="1:7" s="224" customFormat="1" ht="14.25" customHeight="1" x14ac:dyDescent="0.25">
      <c r="A17" s="264">
        <v>32</v>
      </c>
      <c r="B17" s="265" t="s">
        <v>99</v>
      </c>
      <c r="C17" s="266">
        <f>C18+C20+C24</f>
        <v>52377</v>
      </c>
      <c r="D17" s="266">
        <f>SUM(D18)+D24+D20+D22</f>
        <v>22003.59</v>
      </c>
      <c r="E17" s="267">
        <f t="shared" si="0"/>
        <v>42.010023483590125</v>
      </c>
      <c r="F17" s="223"/>
      <c r="G17" s="223"/>
    </row>
    <row r="18" spans="1:7" s="254" customFormat="1" ht="14.25" customHeight="1" x14ac:dyDescent="0.25">
      <c r="A18" s="249">
        <v>321</v>
      </c>
      <c r="B18" s="250" t="s">
        <v>101</v>
      </c>
      <c r="C18" s="263">
        <f>C19</f>
        <v>39353</v>
      </c>
      <c r="D18" s="263">
        <f>SUM(D19:D19)</f>
        <v>18289.77</v>
      </c>
      <c r="E18" s="252">
        <f t="shared" si="0"/>
        <v>46.476177165654462</v>
      </c>
      <c r="F18" s="223"/>
      <c r="G18" s="253"/>
    </row>
    <row r="19" spans="1:7" x14ac:dyDescent="0.25">
      <c r="A19" s="255" t="s">
        <v>104</v>
      </c>
      <c r="B19" s="256" t="s">
        <v>105</v>
      </c>
      <c r="C19" s="257">
        <v>39353</v>
      </c>
      <c r="D19" s="257">
        <v>18289.77</v>
      </c>
      <c r="E19" s="258">
        <f t="shared" si="0"/>
        <v>46.476177165654462</v>
      </c>
      <c r="F19" s="223"/>
      <c r="G19" s="259"/>
    </row>
    <row r="20" spans="1:7" x14ac:dyDescent="0.25">
      <c r="A20" s="260">
        <v>323</v>
      </c>
      <c r="B20" s="261" t="s">
        <v>123</v>
      </c>
      <c r="C20" s="262">
        <f>C21</f>
        <v>7797</v>
      </c>
      <c r="D20" s="262">
        <f>D21</f>
        <v>0</v>
      </c>
      <c r="E20" s="252">
        <f t="shared" si="0"/>
        <v>0</v>
      </c>
      <c r="F20" s="223"/>
      <c r="G20" s="259"/>
    </row>
    <row r="21" spans="1:7" x14ac:dyDescent="0.25">
      <c r="A21" s="255">
        <v>3236</v>
      </c>
      <c r="B21" s="256" t="s">
        <v>135</v>
      </c>
      <c r="C21" s="257">
        <v>7797</v>
      </c>
      <c r="D21" s="257">
        <v>0</v>
      </c>
      <c r="E21" s="258">
        <f t="shared" si="0"/>
        <v>0</v>
      </c>
      <c r="F21" s="223"/>
      <c r="G21" s="259"/>
    </row>
    <row r="22" spans="1:7" x14ac:dyDescent="0.25">
      <c r="A22" s="260">
        <v>324</v>
      </c>
      <c r="B22" s="261" t="s">
        <v>143</v>
      </c>
      <c r="C22" s="262">
        <v>0</v>
      </c>
      <c r="D22" s="262">
        <f>D23</f>
        <v>745.82</v>
      </c>
      <c r="E22" s="258">
        <v>0</v>
      </c>
      <c r="F22" s="223"/>
      <c r="G22" s="259"/>
    </row>
    <row r="23" spans="1:7" x14ac:dyDescent="0.25">
      <c r="A23" s="255">
        <v>3241</v>
      </c>
      <c r="B23" s="256" t="s">
        <v>592</v>
      </c>
      <c r="C23" s="257">
        <v>0</v>
      </c>
      <c r="D23" s="257">
        <v>745.82</v>
      </c>
      <c r="E23" s="258">
        <v>0</v>
      </c>
      <c r="F23" s="223"/>
      <c r="G23" s="259"/>
    </row>
    <row r="24" spans="1:7" x14ac:dyDescent="0.25">
      <c r="A24" s="260">
        <v>329</v>
      </c>
      <c r="B24" s="261" t="s">
        <v>146</v>
      </c>
      <c r="C24" s="262">
        <f>C25</f>
        <v>5227</v>
      </c>
      <c r="D24" s="262">
        <f>D25</f>
        <v>2968</v>
      </c>
      <c r="E24" s="252">
        <f t="shared" si="0"/>
        <v>56.782092978764112</v>
      </c>
      <c r="F24" s="223"/>
      <c r="G24" s="259"/>
    </row>
    <row r="25" spans="1:7" x14ac:dyDescent="0.25">
      <c r="A25" s="268">
        <v>3295</v>
      </c>
      <c r="B25" s="269" t="s">
        <v>156</v>
      </c>
      <c r="C25" s="270">
        <v>5227</v>
      </c>
      <c r="D25" s="270">
        <v>2968</v>
      </c>
      <c r="E25" s="271">
        <f t="shared" si="0"/>
        <v>56.782092978764112</v>
      </c>
      <c r="F25" s="223"/>
      <c r="G25" s="259"/>
    </row>
    <row r="26" spans="1:7" x14ac:dyDescent="0.25">
      <c r="A26" s="234" t="s">
        <v>532</v>
      </c>
      <c r="B26" s="235" t="s">
        <v>586</v>
      </c>
      <c r="C26" s="236">
        <f>C27</f>
        <v>418601</v>
      </c>
      <c r="D26" s="236">
        <f>D27</f>
        <v>153279.19</v>
      </c>
      <c r="E26" s="236">
        <f>SUM(D26/C26*100)</f>
        <v>36.617014770628828</v>
      </c>
      <c r="F26" s="223"/>
      <c r="G26" s="259"/>
    </row>
    <row r="27" spans="1:7" x14ac:dyDescent="0.25">
      <c r="A27" s="237">
        <v>11</v>
      </c>
      <c r="B27" s="237" t="s">
        <v>55</v>
      </c>
      <c r="C27" s="238">
        <f>C28</f>
        <v>418601</v>
      </c>
      <c r="D27" s="238">
        <f>D28</f>
        <v>153279.19</v>
      </c>
      <c r="E27" s="238">
        <f>SUM(D27/C27*100)</f>
        <v>36.617014770628828</v>
      </c>
      <c r="F27" s="223"/>
      <c r="G27" s="259"/>
    </row>
    <row r="28" spans="1:7" x14ac:dyDescent="0.25">
      <c r="A28" s="241">
        <v>3</v>
      </c>
      <c r="B28" s="242" t="s">
        <v>82</v>
      </c>
      <c r="C28" s="243">
        <f>C29+C36+C62</f>
        <v>418601</v>
      </c>
      <c r="D28" s="243">
        <f>D29+D36+D62+D67+D70</f>
        <v>153279.19</v>
      </c>
      <c r="E28" s="243">
        <f>SUM(D28/C28*100)</f>
        <v>36.617014770628828</v>
      </c>
      <c r="F28" s="223"/>
      <c r="G28" s="259"/>
    </row>
    <row r="29" spans="1:7" x14ac:dyDescent="0.25">
      <c r="A29" s="245">
        <v>31</v>
      </c>
      <c r="B29" s="246" t="s">
        <v>84</v>
      </c>
      <c r="C29" s="247">
        <f>C30+C33</f>
        <v>118830</v>
      </c>
      <c r="D29" s="247">
        <f>D30+D33</f>
        <v>5731.56</v>
      </c>
      <c r="E29" s="248">
        <f>SUM(D29/C29*100)</f>
        <v>4.8233274425650094</v>
      </c>
      <c r="F29" s="223"/>
      <c r="G29" s="259"/>
    </row>
    <row r="30" spans="1:7" x14ac:dyDescent="0.25">
      <c r="A30" s="249">
        <v>311</v>
      </c>
      <c r="B30" s="250" t="s">
        <v>573</v>
      </c>
      <c r="C30" s="251">
        <f>C32</f>
        <v>102000</v>
      </c>
      <c r="D30" s="251">
        <f>D31+D32</f>
        <v>4900.47</v>
      </c>
      <c r="E30" s="252">
        <f t="shared" ref="E30:E34" si="1">SUM(D30/C30*100)</f>
        <v>4.8043823529411762</v>
      </c>
      <c r="F30" s="223"/>
      <c r="G30" s="259"/>
    </row>
    <row r="31" spans="1:7" x14ac:dyDescent="0.25">
      <c r="A31" s="255">
        <v>3111</v>
      </c>
      <c r="B31" s="256" t="s">
        <v>88</v>
      </c>
      <c r="C31" s="272">
        <v>0</v>
      </c>
      <c r="D31" s="272">
        <v>3224</v>
      </c>
      <c r="E31" s="258">
        <v>0</v>
      </c>
      <c r="F31" s="223"/>
      <c r="G31" s="259"/>
    </row>
    <row r="32" spans="1:7" x14ac:dyDescent="0.25">
      <c r="A32" s="255">
        <v>3113</v>
      </c>
      <c r="B32" s="256" t="s">
        <v>90</v>
      </c>
      <c r="C32" s="257">
        <v>102000</v>
      </c>
      <c r="D32" s="257">
        <v>1676.47</v>
      </c>
      <c r="E32" s="258">
        <f t="shared" si="1"/>
        <v>1.6435980392156861</v>
      </c>
      <c r="F32" s="223"/>
      <c r="G32" s="259"/>
    </row>
    <row r="33" spans="1:7" x14ac:dyDescent="0.25">
      <c r="A33" s="249">
        <v>313</v>
      </c>
      <c r="B33" s="250" t="s">
        <v>95</v>
      </c>
      <c r="C33" s="263">
        <f>C34</f>
        <v>16830</v>
      </c>
      <c r="D33" s="263">
        <f>SUM(D34:D34)+D35</f>
        <v>831.09</v>
      </c>
      <c r="E33" s="252">
        <f t="shared" si="1"/>
        <v>4.9381461675579326</v>
      </c>
      <c r="F33" s="223"/>
      <c r="G33" s="259"/>
    </row>
    <row r="34" spans="1:7" x14ac:dyDescent="0.25">
      <c r="A34" s="255">
        <v>3132</v>
      </c>
      <c r="B34" s="256" t="s">
        <v>97</v>
      </c>
      <c r="C34" s="257">
        <v>16830</v>
      </c>
      <c r="D34" s="257">
        <f>276.62+483.56+16.12</f>
        <v>776.30000000000007</v>
      </c>
      <c r="E34" s="258">
        <f t="shared" si="1"/>
        <v>4.6125965537730247</v>
      </c>
      <c r="F34" s="223"/>
      <c r="G34" s="259"/>
    </row>
    <row r="35" spans="1:7" x14ac:dyDescent="0.25">
      <c r="A35" s="255">
        <v>3133</v>
      </c>
      <c r="B35" s="256" t="s">
        <v>380</v>
      </c>
      <c r="C35" s="257">
        <v>0</v>
      </c>
      <c r="D35" s="257">
        <v>54.79</v>
      </c>
      <c r="E35" s="258">
        <v>0</v>
      </c>
      <c r="F35" s="223"/>
      <c r="G35" s="259"/>
    </row>
    <row r="36" spans="1:7" x14ac:dyDescent="0.25">
      <c r="A36" s="264">
        <v>32</v>
      </c>
      <c r="B36" s="265" t="s">
        <v>99</v>
      </c>
      <c r="C36" s="266">
        <f>C37+C40+C44+C54+C56</f>
        <v>299771</v>
      </c>
      <c r="D36" s="266">
        <f>D37+D40+D44+D56+D54</f>
        <v>145400.43</v>
      </c>
      <c r="E36" s="273">
        <f>(D36/C36)*100</f>
        <v>48.503834593739889</v>
      </c>
      <c r="F36" s="223"/>
      <c r="G36" s="259"/>
    </row>
    <row r="37" spans="1:7" x14ac:dyDescent="0.25">
      <c r="A37" s="249">
        <v>321</v>
      </c>
      <c r="B37" s="250" t="s">
        <v>101</v>
      </c>
      <c r="C37" s="263">
        <f>C38+C39</f>
        <v>82000</v>
      </c>
      <c r="D37" s="263">
        <f>D39+D38</f>
        <v>14922.55</v>
      </c>
      <c r="E37" s="274">
        <f t="shared" ref="E37:E58" si="2">(D37/C37)*100</f>
        <v>18.198231707317074</v>
      </c>
      <c r="F37" s="223"/>
      <c r="G37" s="259"/>
    </row>
    <row r="38" spans="1:7" x14ac:dyDescent="0.25">
      <c r="A38" s="275">
        <v>3211</v>
      </c>
      <c r="B38" s="276" t="s">
        <v>103</v>
      </c>
      <c r="C38" s="277">
        <v>32000</v>
      </c>
      <c r="D38" s="277">
        <f>171.8+201.8+45+92.86+547.4+15+88+319.7+256.5+401.81+30+301.78+664.8+15+405+233.66+403.12</f>
        <v>4193.2300000000005</v>
      </c>
      <c r="E38" s="278">
        <f t="shared" si="2"/>
        <v>13.103843750000003</v>
      </c>
      <c r="F38" s="223"/>
      <c r="G38" s="259"/>
    </row>
    <row r="39" spans="1:7" x14ac:dyDescent="0.25">
      <c r="A39" s="255">
        <v>3213</v>
      </c>
      <c r="B39" s="256" t="s">
        <v>107</v>
      </c>
      <c r="C39" s="257">
        <v>50000</v>
      </c>
      <c r="D39" s="257">
        <f>320+513.36+200+450+563.5+198.51+1907.38+1407.38+513.36+620+1220.31+563.51+1126+1126.01</f>
        <v>10729.32</v>
      </c>
      <c r="E39" s="278">
        <f t="shared" si="2"/>
        <v>21.458639999999999</v>
      </c>
      <c r="F39" s="223"/>
      <c r="G39" s="259"/>
    </row>
    <row r="40" spans="1:7" x14ac:dyDescent="0.25">
      <c r="A40" s="249">
        <v>322</v>
      </c>
      <c r="B40" s="250" t="s">
        <v>111</v>
      </c>
      <c r="C40" s="263">
        <f>C41+C42+C43</f>
        <v>141284</v>
      </c>
      <c r="D40" s="263">
        <f>D41+D42+D43</f>
        <v>62971.770000000004</v>
      </c>
      <c r="E40" s="274">
        <f t="shared" si="2"/>
        <v>44.571055462755872</v>
      </c>
      <c r="F40" s="223"/>
      <c r="G40" s="259"/>
    </row>
    <row r="41" spans="1:7" x14ac:dyDescent="0.25">
      <c r="A41" s="255" t="s">
        <v>112</v>
      </c>
      <c r="B41" s="256" t="s">
        <v>113</v>
      </c>
      <c r="C41" s="257">
        <v>21935</v>
      </c>
      <c r="D41" s="257">
        <f>1745.5+3064.18+862.14+2436.48+6476.29</f>
        <v>14584.59</v>
      </c>
      <c r="E41" s="278">
        <f t="shared" si="2"/>
        <v>66.490038750854794</v>
      </c>
      <c r="F41" s="223"/>
      <c r="G41" s="259"/>
    </row>
    <row r="42" spans="1:7" x14ac:dyDescent="0.25">
      <c r="A42" s="255" t="s">
        <v>114</v>
      </c>
      <c r="B42" s="256" t="s">
        <v>115</v>
      </c>
      <c r="C42" s="257">
        <v>119349</v>
      </c>
      <c r="D42" s="257">
        <f>28748.32+53.27+19585.59</f>
        <v>48387.18</v>
      </c>
      <c r="E42" s="278">
        <f t="shared" si="2"/>
        <v>40.542593570117887</v>
      </c>
      <c r="F42" s="223"/>
      <c r="G42" s="259"/>
    </row>
    <row r="43" spans="1:7" x14ac:dyDescent="0.25">
      <c r="A43" s="255" t="s">
        <v>116</v>
      </c>
      <c r="B43" s="256" t="s">
        <v>117</v>
      </c>
      <c r="C43" s="257">
        <v>0</v>
      </c>
      <c r="D43" s="257">
        <v>0</v>
      </c>
      <c r="E43" s="278" t="e">
        <f t="shared" si="2"/>
        <v>#DIV/0!</v>
      </c>
      <c r="F43" s="223"/>
      <c r="G43" s="259"/>
    </row>
    <row r="44" spans="1:7" x14ac:dyDescent="0.25">
      <c r="A44" s="249">
        <v>323</v>
      </c>
      <c r="B44" s="250" t="s">
        <v>123</v>
      </c>
      <c r="C44" s="263">
        <f>C45+C46+C47+C48+C49+C51+C52+C53</f>
        <v>73587</v>
      </c>
      <c r="D44" s="263">
        <f>SUM(D45:D53)</f>
        <v>64321.03</v>
      </c>
      <c r="E44" s="274">
        <f t="shared" si="2"/>
        <v>87.408142742603985</v>
      </c>
      <c r="F44" s="223"/>
      <c r="G44" s="259"/>
    </row>
    <row r="45" spans="1:7" x14ac:dyDescent="0.25">
      <c r="A45" s="255" t="s">
        <v>124</v>
      </c>
      <c r="B45" s="256" t="s">
        <v>125</v>
      </c>
      <c r="C45" s="257">
        <v>3000</v>
      </c>
      <c r="D45" s="257">
        <f>882.73+90.55+39.84+912.83</f>
        <v>1925.95</v>
      </c>
      <c r="E45" s="278">
        <f t="shared" si="2"/>
        <v>64.198333333333338</v>
      </c>
      <c r="F45" s="223"/>
      <c r="G45" s="259"/>
    </row>
    <row r="46" spans="1:7" x14ac:dyDescent="0.25">
      <c r="A46" s="255" t="s">
        <v>126</v>
      </c>
      <c r="B46" s="256" t="s">
        <v>127</v>
      </c>
      <c r="C46" s="257">
        <v>0</v>
      </c>
      <c r="D46" s="257">
        <v>0</v>
      </c>
      <c r="E46" s="278" t="e">
        <f t="shared" si="2"/>
        <v>#DIV/0!</v>
      </c>
      <c r="F46" s="223"/>
      <c r="G46" s="259"/>
    </row>
    <row r="47" spans="1:7" x14ac:dyDescent="0.25">
      <c r="A47" s="255">
        <v>3233</v>
      </c>
      <c r="B47" s="256" t="s">
        <v>129</v>
      </c>
      <c r="C47" s="257">
        <v>1000</v>
      </c>
      <c r="D47" s="257">
        <v>982.56</v>
      </c>
      <c r="E47" s="278">
        <f t="shared" si="2"/>
        <v>98.256</v>
      </c>
      <c r="F47" s="223"/>
      <c r="G47" s="259"/>
    </row>
    <row r="48" spans="1:7" x14ac:dyDescent="0.25">
      <c r="A48" s="255" t="s">
        <v>130</v>
      </c>
      <c r="B48" s="256" t="s">
        <v>131</v>
      </c>
      <c r="C48" s="257">
        <v>16909</v>
      </c>
      <c r="D48" s="257">
        <f>1072.36+2407.98+476.74+9313.32</f>
        <v>13270.4</v>
      </c>
      <c r="E48" s="278">
        <f t="shared" si="2"/>
        <v>78.481282157430954</v>
      </c>
      <c r="F48" s="223"/>
      <c r="G48" s="259"/>
    </row>
    <row r="49" spans="1:7" x14ac:dyDescent="0.25">
      <c r="A49" s="255">
        <v>3235</v>
      </c>
      <c r="B49" s="256" t="s">
        <v>133</v>
      </c>
      <c r="C49" s="257">
        <v>2000</v>
      </c>
      <c r="D49" s="257">
        <f>264.2+530+1872</f>
        <v>2666.2</v>
      </c>
      <c r="E49" s="278">
        <f t="shared" si="2"/>
        <v>133.31</v>
      </c>
      <c r="F49" s="223"/>
      <c r="G49" s="259"/>
    </row>
    <row r="50" spans="1:7" x14ac:dyDescent="0.25">
      <c r="A50" s="255">
        <v>3236</v>
      </c>
      <c r="B50" s="256" t="s">
        <v>135</v>
      </c>
      <c r="C50" s="257">
        <v>0</v>
      </c>
      <c r="D50" s="257">
        <v>0</v>
      </c>
      <c r="E50" s="278">
        <v>0</v>
      </c>
      <c r="F50" s="223"/>
      <c r="G50" s="259"/>
    </row>
    <row r="51" spans="1:7" x14ac:dyDescent="0.25">
      <c r="A51" s="255">
        <v>3237</v>
      </c>
      <c r="B51" s="256" t="s">
        <v>137</v>
      </c>
      <c r="C51" s="257">
        <v>35500</v>
      </c>
      <c r="D51" s="257">
        <f>21966.12+662.5+4251.11+1275</f>
        <v>28154.73</v>
      </c>
      <c r="E51" s="278">
        <f t="shared" si="2"/>
        <v>79.309098591549301</v>
      </c>
      <c r="F51" s="223"/>
      <c r="G51" s="259"/>
    </row>
    <row r="52" spans="1:7" x14ac:dyDescent="0.25">
      <c r="A52" s="255" t="s">
        <v>138</v>
      </c>
      <c r="B52" s="256" t="s">
        <v>139</v>
      </c>
      <c r="C52" s="257">
        <v>0</v>
      </c>
      <c r="D52" s="257">
        <v>0</v>
      </c>
      <c r="E52" s="278" t="e">
        <f t="shared" si="2"/>
        <v>#DIV/0!</v>
      </c>
      <c r="F52" s="223"/>
      <c r="G52" s="259"/>
    </row>
    <row r="53" spans="1:7" x14ac:dyDescent="0.25">
      <c r="A53" s="255" t="s">
        <v>140</v>
      </c>
      <c r="B53" s="256" t="s">
        <v>141</v>
      </c>
      <c r="C53" s="257">
        <v>15178</v>
      </c>
      <c r="D53" s="257">
        <f>400.25+5310+3476.02+6723.74+1411.18</f>
        <v>17321.189999999999</v>
      </c>
      <c r="E53" s="278">
        <f t="shared" si="2"/>
        <v>114.12037159045987</v>
      </c>
      <c r="F53" s="223"/>
      <c r="G53" s="259"/>
    </row>
    <row r="54" spans="1:7" x14ac:dyDescent="0.25">
      <c r="A54" s="260">
        <v>324</v>
      </c>
      <c r="B54" s="261" t="s">
        <v>143</v>
      </c>
      <c r="C54" s="262">
        <f>C55</f>
        <v>500</v>
      </c>
      <c r="D54" s="262">
        <f>D55</f>
        <v>0</v>
      </c>
      <c r="E54" s="278">
        <f t="shared" si="2"/>
        <v>0</v>
      </c>
      <c r="F54" s="223"/>
      <c r="G54" s="259"/>
    </row>
    <row r="55" spans="1:7" x14ac:dyDescent="0.25">
      <c r="A55" s="255">
        <v>3241</v>
      </c>
      <c r="B55" s="256" t="s">
        <v>143</v>
      </c>
      <c r="C55" s="257">
        <v>500</v>
      </c>
      <c r="D55" s="257">
        <v>0</v>
      </c>
      <c r="E55" s="278">
        <f t="shared" si="2"/>
        <v>0</v>
      </c>
      <c r="F55" s="223"/>
      <c r="G55" s="259"/>
    </row>
    <row r="56" spans="1:7" x14ac:dyDescent="0.25">
      <c r="A56" s="249">
        <v>329</v>
      </c>
      <c r="B56" s="250" t="s">
        <v>146</v>
      </c>
      <c r="C56" s="263">
        <f>C57+C58+C61</f>
        <v>2400</v>
      </c>
      <c r="D56" s="263">
        <f>D59+D60+D58+D57+D61</f>
        <v>3185.08</v>
      </c>
      <c r="E56" s="278">
        <f t="shared" si="2"/>
        <v>132.71166666666667</v>
      </c>
      <c r="F56" s="223"/>
      <c r="G56" s="259"/>
    </row>
    <row r="57" spans="1:7" x14ac:dyDescent="0.25">
      <c r="A57" s="255" t="s">
        <v>151</v>
      </c>
      <c r="B57" s="256" t="s">
        <v>152</v>
      </c>
      <c r="C57" s="257">
        <v>0</v>
      </c>
      <c r="D57" s="257">
        <v>0</v>
      </c>
      <c r="E57" s="278" t="e">
        <f t="shared" si="2"/>
        <v>#DIV/0!</v>
      </c>
      <c r="F57" s="223"/>
      <c r="G57" s="259"/>
    </row>
    <row r="58" spans="1:7" x14ac:dyDescent="0.25">
      <c r="A58" s="255">
        <v>3294</v>
      </c>
      <c r="B58" s="256" t="s">
        <v>154</v>
      </c>
      <c r="C58" s="257">
        <v>2400</v>
      </c>
      <c r="D58" s="257">
        <v>1168.44</v>
      </c>
      <c r="E58" s="278">
        <f t="shared" si="2"/>
        <v>48.685000000000002</v>
      </c>
      <c r="F58" s="223"/>
      <c r="G58" s="259"/>
    </row>
    <row r="59" spans="1:7" x14ac:dyDescent="0.25">
      <c r="A59" s="255">
        <v>3295</v>
      </c>
      <c r="B59" s="256" t="s">
        <v>156</v>
      </c>
      <c r="C59" s="257">
        <v>0</v>
      </c>
      <c r="D59" s="257">
        <v>26.54</v>
      </c>
      <c r="E59" s="278">
        <v>0</v>
      </c>
      <c r="F59" s="223"/>
      <c r="G59" s="259"/>
    </row>
    <row r="60" spans="1:7" x14ac:dyDescent="0.25">
      <c r="A60" s="255">
        <v>3296</v>
      </c>
      <c r="B60" s="256" t="s">
        <v>158</v>
      </c>
      <c r="C60" s="257">
        <v>0</v>
      </c>
      <c r="D60" s="257">
        <v>1990.1</v>
      </c>
      <c r="E60" s="278">
        <v>0</v>
      </c>
      <c r="F60" s="223"/>
      <c r="G60" s="259"/>
    </row>
    <row r="61" spans="1:7" x14ac:dyDescent="0.25">
      <c r="A61" s="255" t="s">
        <v>159</v>
      </c>
      <c r="B61" s="256" t="s">
        <v>146</v>
      </c>
      <c r="C61" s="257">
        <v>0</v>
      </c>
      <c r="D61" s="257">
        <v>0</v>
      </c>
      <c r="E61" s="279">
        <v>0</v>
      </c>
      <c r="F61" s="223"/>
      <c r="G61" s="259"/>
    </row>
    <row r="62" spans="1:7" x14ac:dyDescent="0.25">
      <c r="A62" s="264">
        <v>34</v>
      </c>
      <c r="B62" s="265" t="s">
        <v>161</v>
      </c>
      <c r="C62" s="266">
        <f>C63</f>
        <v>0</v>
      </c>
      <c r="D62" s="266">
        <f>D63</f>
        <v>1365.63</v>
      </c>
      <c r="E62" s="278" t="e">
        <f>(D62/C62)*100</f>
        <v>#DIV/0!</v>
      </c>
      <c r="F62" s="223"/>
      <c r="G62" s="259"/>
    </row>
    <row r="63" spans="1:7" x14ac:dyDescent="0.25">
      <c r="A63" s="249">
        <v>343</v>
      </c>
      <c r="B63" s="250" t="s">
        <v>163</v>
      </c>
      <c r="C63" s="263">
        <f>C64+C65</f>
        <v>0</v>
      </c>
      <c r="D63" s="263">
        <f>D64+D65+D66</f>
        <v>1365.63</v>
      </c>
      <c r="E63" s="278" t="e">
        <f t="shared" ref="E63:E72" si="3">(D63/C63)*100</f>
        <v>#DIV/0!</v>
      </c>
      <c r="F63" s="223"/>
      <c r="G63" s="259"/>
    </row>
    <row r="64" spans="1:7" x14ac:dyDescent="0.25">
      <c r="A64" s="255" t="s">
        <v>164</v>
      </c>
      <c r="B64" s="256" t="s">
        <v>165</v>
      </c>
      <c r="C64" s="257">
        <v>0</v>
      </c>
      <c r="D64" s="257">
        <v>0</v>
      </c>
      <c r="E64" s="278" t="e">
        <f t="shared" si="3"/>
        <v>#DIV/0!</v>
      </c>
      <c r="F64" s="223"/>
      <c r="G64" s="259"/>
    </row>
    <row r="65" spans="1:7" ht="31.5" x14ac:dyDescent="0.25">
      <c r="A65" s="255">
        <v>3432</v>
      </c>
      <c r="B65" s="256" t="s">
        <v>574</v>
      </c>
      <c r="C65" s="257">
        <v>0</v>
      </c>
      <c r="D65" s="257">
        <v>30</v>
      </c>
      <c r="E65" s="278" t="e">
        <f t="shared" si="3"/>
        <v>#DIV/0!</v>
      </c>
      <c r="F65" s="223"/>
      <c r="G65" s="259"/>
    </row>
    <row r="66" spans="1:7" x14ac:dyDescent="0.25">
      <c r="A66" s="255">
        <v>3433</v>
      </c>
      <c r="B66" s="256" t="s">
        <v>392</v>
      </c>
      <c r="C66" s="257">
        <v>0</v>
      </c>
      <c r="D66" s="257">
        <v>1335.63</v>
      </c>
      <c r="E66" s="278" t="e">
        <f t="shared" si="3"/>
        <v>#DIV/0!</v>
      </c>
      <c r="F66" s="223"/>
      <c r="G66" s="259"/>
    </row>
    <row r="67" spans="1:7" ht="31.5" x14ac:dyDescent="0.25">
      <c r="A67" s="281">
        <v>37</v>
      </c>
      <c r="B67" s="282" t="s">
        <v>204</v>
      </c>
      <c r="C67" s="283">
        <v>0</v>
      </c>
      <c r="D67" s="283">
        <f>D68</f>
        <v>675.4</v>
      </c>
      <c r="E67" s="278" t="e">
        <f t="shared" si="3"/>
        <v>#DIV/0!</v>
      </c>
      <c r="F67" s="223"/>
      <c r="G67" s="259"/>
    </row>
    <row r="68" spans="1:7" x14ac:dyDescent="0.25">
      <c r="A68" s="260">
        <v>372</v>
      </c>
      <c r="B68" s="284" t="s">
        <v>575</v>
      </c>
      <c r="C68" s="262">
        <v>0</v>
      </c>
      <c r="D68" s="262">
        <f>D69</f>
        <v>675.4</v>
      </c>
      <c r="E68" s="278" t="e">
        <f t="shared" si="3"/>
        <v>#DIV/0!</v>
      </c>
      <c r="F68" s="223"/>
      <c r="G68" s="259"/>
    </row>
    <row r="69" spans="1:7" x14ac:dyDescent="0.25">
      <c r="A69" s="255">
        <v>3721</v>
      </c>
      <c r="B69" s="256" t="s">
        <v>208</v>
      </c>
      <c r="C69" s="257">
        <v>0</v>
      </c>
      <c r="D69" s="257">
        <v>675.4</v>
      </c>
      <c r="E69" s="278" t="e">
        <f t="shared" si="3"/>
        <v>#DIV/0!</v>
      </c>
      <c r="F69" s="223"/>
      <c r="G69" s="259"/>
    </row>
    <row r="70" spans="1:7" x14ac:dyDescent="0.25">
      <c r="A70" s="281">
        <v>38</v>
      </c>
      <c r="B70" s="366" t="s">
        <v>210</v>
      </c>
      <c r="C70" s="283">
        <v>0</v>
      </c>
      <c r="D70" s="283">
        <f>D71</f>
        <v>106.17</v>
      </c>
      <c r="E70" s="278" t="e">
        <f t="shared" si="3"/>
        <v>#DIV/0!</v>
      </c>
      <c r="F70" s="223"/>
      <c r="G70" s="259"/>
    </row>
    <row r="71" spans="1:7" x14ac:dyDescent="0.25">
      <c r="A71" s="260">
        <v>381</v>
      </c>
      <c r="B71" s="261" t="s">
        <v>212</v>
      </c>
      <c r="C71" s="262">
        <f>C72</f>
        <v>0</v>
      </c>
      <c r="D71" s="262">
        <f>D72</f>
        <v>106.17</v>
      </c>
      <c r="E71" s="278" t="e">
        <f t="shared" si="3"/>
        <v>#DIV/0!</v>
      </c>
      <c r="F71" s="223"/>
      <c r="G71" s="259"/>
    </row>
    <row r="72" spans="1:7" x14ac:dyDescent="0.25">
      <c r="A72" s="268">
        <v>3811</v>
      </c>
      <c r="B72" s="269" t="s">
        <v>214</v>
      </c>
      <c r="C72" s="270">
        <v>0</v>
      </c>
      <c r="D72" s="270">
        <v>106.17</v>
      </c>
      <c r="E72" s="278" t="e">
        <f t="shared" si="3"/>
        <v>#DIV/0!</v>
      </c>
      <c r="F72" s="223"/>
      <c r="G72" s="259"/>
    </row>
    <row r="73" spans="1:7" x14ac:dyDescent="0.25">
      <c r="A73" s="234" t="s">
        <v>534</v>
      </c>
      <c r="B73" s="235" t="s">
        <v>587</v>
      </c>
      <c r="C73" s="236">
        <f>C74+C114</f>
        <v>1203603</v>
      </c>
      <c r="D73" s="236">
        <f>D74+D114</f>
        <v>534936.8600000001</v>
      </c>
      <c r="E73" s="236">
        <f>SUM(D73/C73*100)</f>
        <v>44.444626675074758</v>
      </c>
      <c r="F73" s="223"/>
      <c r="G73" s="259"/>
    </row>
    <row r="74" spans="1:7" s="254" customFormat="1" x14ac:dyDescent="0.25">
      <c r="A74" s="237">
        <v>31</v>
      </c>
      <c r="B74" s="237" t="s">
        <v>485</v>
      </c>
      <c r="C74" s="238">
        <f t="shared" ref="C74" si="4">SUM(C75)</f>
        <v>513265</v>
      </c>
      <c r="D74" s="238">
        <f>SUM(D75)</f>
        <v>191138.51999999996</v>
      </c>
      <c r="E74" s="238">
        <f t="shared" ref="E74" si="5">SUM(E75)</f>
        <v>37.239733860676253</v>
      </c>
      <c r="F74" s="223"/>
      <c r="G74" s="253"/>
    </row>
    <row r="75" spans="1:7" s="254" customFormat="1" x14ac:dyDescent="0.25">
      <c r="A75" s="241">
        <v>3</v>
      </c>
      <c r="B75" s="242" t="s">
        <v>82</v>
      </c>
      <c r="C75" s="295">
        <f>SUM(C76,C83)+C104+C108+C111</f>
        <v>513265</v>
      </c>
      <c r="D75" s="295">
        <f>SUM(D76,D83)+D104+D111</f>
        <v>191138.51999999996</v>
      </c>
      <c r="E75" s="295">
        <f>SUM(D75/C75*100)</f>
        <v>37.239733860676253</v>
      </c>
      <c r="F75" s="223"/>
      <c r="G75" s="253"/>
    </row>
    <row r="76" spans="1:7" s="224" customFormat="1" ht="15.75" customHeight="1" x14ac:dyDescent="0.25">
      <c r="A76" s="296">
        <v>31</v>
      </c>
      <c r="B76" s="297" t="s">
        <v>84</v>
      </c>
      <c r="C76" s="298">
        <f>C77+C79+C81</f>
        <v>438265</v>
      </c>
      <c r="D76" s="298">
        <f>D77+D79+D81</f>
        <v>168998.15999999997</v>
      </c>
      <c r="E76" s="299">
        <f>SUM(D76/C76*100)</f>
        <v>38.560724675709892</v>
      </c>
      <c r="F76" s="223"/>
      <c r="G76" s="223"/>
    </row>
    <row r="77" spans="1:7" s="254" customFormat="1" ht="15.75" customHeight="1" x14ac:dyDescent="0.25">
      <c r="A77" s="300">
        <v>311</v>
      </c>
      <c r="B77" s="301" t="s">
        <v>573</v>
      </c>
      <c r="C77" s="302">
        <f>C78</f>
        <v>195936</v>
      </c>
      <c r="D77" s="302">
        <f>SUM(D78)</f>
        <v>77450.740000000005</v>
      </c>
      <c r="E77" s="290">
        <f t="shared" ref="E77:E82" si="6">SUM(D77/C77*100)</f>
        <v>39.528590968479506</v>
      </c>
      <c r="F77" s="223"/>
      <c r="G77" s="253"/>
    </row>
    <row r="78" spans="1:7" ht="15.75" customHeight="1" x14ac:dyDescent="0.25">
      <c r="A78" s="291">
        <v>3111</v>
      </c>
      <c r="B78" s="292" t="s">
        <v>88</v>
      </c>
      <c r="C78" s="293">
        <v>195936</v>
      </c>
      <c r="D78" s="293">
        <v>77450.740000000005</v>
      </c>
      <c r="E78" s="294">
        <f t="shared" si="6"/>
        <v>39.528590968479506</v>
      </c>
      <c r="F78" s="223"/>
      <c r="G78" s="259"/>
    </row>
    <row r="79" spans="1:7" ht="15.75" customHeight="1" x14ac:dyDescent="0.25">
      <c r="A79" s="288">
        <v>312</v>
      </c>
      <c r="B79" s="284" t="s">
        <v>577</v>
      </c>
      <c r="C79" s="289">
        <f>C80</f>
        <v>210000</v>
      </c>
      <c r="D79" s="289">
        <f>D80</f>
        <v>78783.429999999993</v>
      </c>
      <c r="E79" s="290">
        <f t="shared" si="6"/>
        <v>37.515919047619043</v>
      </c>
      <c r="F79" s="223"/>
      <c r="G79" s="259"/>
    </row>
    <row r="80" spans="1:7" ht="15.75" customHeight="1" x14ac:dyDescent="0.25">
      <c r="A80" s="303">
        <v>3121</v>
      </c>
      <c r="B80" s="304" t="s">
        <v>577</v>
      </c>
      <c r="C80" s="293">
        <v>210000</v>
      </c>
      <c r="D80" s="293">
        <v>78783.429999999993</v>
      </c>
      <c r="E80" s="294">
        <f t="shared" si="6"/>
        <v>37.515919047619043</v>
      </c>
      <c r="F80" s="223"/>
      <c r="G80" s="259"/>
    </row>
    <row r="81" spans="1:7" ht="15.75" customHeight="1" x14ac:dyDescent="0.25">
      <c r="A81" s="288">
        <v>313</v>
      </c>
      <c r="B81" s="284" t="s">
        <v>95</v>
      </c>
      <c r="C81" s="289">
        <f>C82</f>
        <v>32329</v>
      </c>
      <c r="D81" s="289">
        <f>D82</f>
        <v>12763.99</v>
      </c>
      <c r="E81" s="290">
        <f t="shared" si="6"/>
        <v>39.481549073587182</v>
      </c>
      <c r="F81" s="223"/>
      <c r="G81" s="259"/>
    </row>
    <row r="82" spans="1:7" ht="15.75" customHeight="1" x14ac:dyDescent="0.25">
      <c r="A82" s="303">
        <v>3132</v>
      </c>
      <c r="B82" s="304" t="s">
        <v>578</v>
      </c>
      <c r="C82" s="293">
        <v>32329</v>
      </c>
      <c r="D82" s="293">
        <v>12763.99</v>
      </c>
      <c r="E82" s="294">
        <f t="shared" si="6"/>
        <v>39.481549073587182</v>
      </c>
      <c r="F82" s="223"/>
      <c r="G82" s="259"/>
    </row>
    <row r="83" spans="1:7" s="224" customFormat="1" ht="15.75" customHeight="1" x14ac:dyDescent="0.25">
      <c r="A83" s="305">
        <v>32</v>
      </c>
      <c r="B83" s="306" t="s">
        <v>99</v>
      </c>
      <c r="C83" s="307">
        <f>C84+C88+C91+C98+C100</f>
        <v>71500</v>
      </c>
      <c r="D83" s="307">
        <f>D84+D88+D91+D98+D100</f>
        <v>18640.36</v>
      </c>
      <c r="E83" s="287">
        <f>SUM(D83/C83*100)</f>
        <v>26.070433566433564</v>
      </c>
      <c r="F83" s="223"/>
      <c r="G83" s="223"/>
    </row>
    <row r="84" spans="1:7" s="224" customFormat="1" ht="15.75" customHeight="1" x14ac:dyDescent="0.25">
      <c r="A84" s="288">
        <v>321</v>
      </c>
      <c r="B84" s="284" t="s">
        <v>101</v>
      </c>
      <c r="C84" s="289">
        <f>C85+C87+C86</f>
        <v>15500</v>
      </c>
      <c r="D84" s="289">
        <f>D85</f>
        <v>0</v>
      </c>
      <c r="E84" s="290">
        <f t="shared" ref="E84:E113" si="7">SUM(D84/C84*100)</f>
        <v>0</v>
      </c>
      <c r="F84" s="223"/>
      <c r="G84" s="223"/>
    </row>
    <row r="85" spans="1:7" s="224" customFormat="1" ht="15.75" customHeight="1" x14ac:dyDescent="0.25">
      <c r="A85" s="303">
        <v>3211</v>
      </c>
      <c r="B85" s="304" t="s">
        <v>103</v>
      </c>
      <c r="C85" s="308">
        <v>5000</v>
      </c>
      <c r="D85" s="308">
        <v>0</v>
      </c>
      <c r="E85" s="294">
        <v>0</v>
      </c>
      <c r="F85" s="223"/>
      <c r="G85" s="223"/>
    </row>
    <row r="86" spans="1:7" s="224" customFormat="1" ht="15.75" customHeight="1" x14ac:dyDescent="0.25">
      <c r="A86" s="303">
        <v>3213</v>
      </c>
      <c r="B86" s="304" t="s">
        <v>107</v>
      </c>
      <c r="C86" s="308">
        <v>5500</v>
      </c>
      <c r="D86" s="308">
        <v>0</v>
      </c>
      <c r="E86" s="294">
        <v>1</v>
      </c>
      <c r="F86" s="223"/>
      <c r="G86" s="223"/>
    </row>
    <row r="87" spans="1:7" s="224" customFormat="1" ht="15.75" customHeight="1" x14ac:dyDescent="0.25">
      <c r="A87" s="303">
        <v>3214</v>
      </c>
      <c r="B87" s="304" t="s">
        <v>579</v>
      </c>
      <c r="C87" s="308">
        <v>5000</v>
      </c>
      <c r="D87" s="308">
        <v>0</v>
      </c>
      <c r="E87" s="294">
        <f t="shared" ref="E87" si="8">SUM(D87/C87*100)</f>
        <v>0</v>
      </c>
      <c r="F87" s="223"/>
      <c r="G87" s="223"/>
    </row>
    <row r="88" spans="1:7" s="254" customFormat="1" ht="15.75" customHeight="1" x14ac:dyDescent="0.25">
      <c r="A88" s="300">
        <v>322</v>
      </c>
      <c r="B88" s="301" t="s">
        <v>111</v>
      </c>
      <c r="C88" s="302">
        <f>C89+C90</f>
        <v>11000</v>
      </c>
      <c r="D88" s="302">
        <f>D89</f>
        <v>731.36</v>
      </c>
      <c r="E88" s="287">
        <f t="shared" si="7"/>
        <v>6.6487272727272728</v>
      </c>
      <c r="F88" s="223"/>
      <c r="G88" s="253"/>
    </row>
    <row r="89" spans="1:7" ht="15.75" customHeight="1" x14ac:dyDescent="0.25">
      <c r="A89" s="291" t="s">
        <v>112</v>
      </c>
      <c r="B89" s="292" t="s">
        <v>113</v>
      </c>
      <c r="C89" s="293">
        <v>10000</v>
      </c>
      <c r="D89" s="257">
        <v>731.36</v>
      </c>
      <c r="E89" s="287">
        <f t="shared" si="7"/>
        <v>7.313600000000001</v>
      </c>
      <c r="F89" s="223"/>
    </row>
    <row r="90" spans="1:7" ht="15.75" customHeight="1" x14ac:dyDescent="0.25">
      <c r="A90" s="291">
        <v>3225</v>
      </c>
      <c r="B90" s="292" t="s">
        <v>119</v>
      </c>
      <c r="C90" s="293">
        <v>1000</v>
      </c>
      <c r="D90" s="257">
        <v>0</v>
      </c>
      <c r="E90" s="287">
        <f t="shared" si="7"/>
        <v>0</v>
      </c>
      <c r="F90" s="223"/>
    </row>
    <row r="91" spans="1:7" ht="15.75" customHeight="1" x14ac:dyDescent="0.25">
      <c r="A91" s="288">
        <v>323</v>
      </c>
      <c r="B91" s="284" t="s">
        <v>123</v>
      </c>
      <c r="C91" s="289">
        <f>C92+C94+C95+C96+C97</f>
        <v>33500</v>
      </c>
      <c r="D91" s="262">
        <f>D92+D96+D97+D94+D95+D93</f>
        <v>17559</v>
      </c>
      <c r="E91" s="287">
        <f t="shared" si="7"/>
        <v>52.414925373134324</v>
      </c>
      <c r="F91" s="223"/>
    </row>
    <row r="92" spans="1:7" ht="15.75" customHeight="1" x14ac:dyDescent="0.25">
      <c r="A92" s="291">
        <v>3231</v>
      </c>
      <c r="B92" s="292" t="s">
        <v>125</v>
      </c>
      <c r="C92" s="293">
        <v>2200</v>
      </c>
      <c r="D92" s="257">
        <v>0</v>
      </c>
      <c r="E92" s="294">
        <v>0</v>
      </c>
      <c r="F92" s="223"/>
    </row>
    <row r="93" spans="1:7" ht="15.75" customHeight="1" x14ac:dyDescent="0.25">
      <c r="A93" s="291">
        <v>3232</v>
      </c>
      <c r="B93" s="292" t="s">
        <v>127</v>
      </c>
      <c r="C93" s="293">
        <v>0</v>
      </c>
      <c r="D93" s="257">
        <v>1191.25</v>
      </c>
      <c r="E93" s="294">
        <v>0</v>
      </c>
      <c r="F93" s="223"/>
    </row>
    <row r="94" spans="1:7" ht="15.75" customHeight="1" x14ac:dyDescent="0.25">
      <c r="A94" s="291">
        <v>3233</v>
      </c>
      <c r="B94" s="292" t="s">
        <v>129</v>
      </c>
      <c r="C94" s="293">
        <v>1800</v>
      </c>
      <c r="D94" s="257">
        <v>0</v>
      </c>
      <c r="E94" s="294">
        <f t="shared" si="7"/>
        <v>0</v>
      </c>
      <c r="F94" s="223"/>
    </row>
    <row r="95" spans="1:7" ht="15.75" customHeight="1" x14ac:dyDescent="0.25">
      <c r="A95" s="291">
        <v>3235</v>
      </c>
      <c r="B95" s="292" t="s">
        <v>133</v>
      </c>
      <c r="C95" s="293">
        <v>0</v>
      </c>
      <c r="D95" s="257">
        <v>0</v>
      </c>
      <c r="E95" s="294" t="e">
        <f t="shared" si="7"/>
        <v>#DIV/0!</v>
      </c>
      <c r="F95" s="223"/>
    </row>
    <row r="96" spans="1:7" ht="15.75" customHeight="1" x14ac:dyDescent="0.25">
      <c r="A96" s="291">
        <v>3237</v>
      </c>
      <c r="B96" s="292" t="s">
        <v>137</v>
      </c>
      <c r="C96" s="293">
        <v>27000</v>
      </c>
      <c r="D96" s="257">
        <f>13798.38+2569.37</f>
        <v>16367.75</v>
      </c>
      <c r="E96" s="294">
        <f t="shared" si="7"/>
        <v>60.6212962962963</v>
      </c>
      <c r="F96" s="223"/>
    </row>
    <row r="97" spans="1:6" ht="15.75" customHeight="1" x14ac:dyDescent="0.25">
      <c r="A97" s="291">
        <v>3239</v>
      </c>
      <c r="B97" s="292" t="s">
        <v>141</v>
      </c>
      <c r="C97" s="293">
        <v>2500</v>
      </c>
      <c r="D97" s="257">
        <v>0</v>
      </c>
      <c r="E97" s="294">
        <f t="shared" si="7"/>
        <v>0</v>
      </c>
      <c r="F97" s="223"/>
    </row>
    <row r="98" spans="1:6" ht="15.75" customHeight="1" x14ac:dyDescent="0.25">
      <c r="A98" s="288">
        <v>324</v>
      </c>
      <c r="B98" s="284" t="s">
        <v>143</v>
      </c>
      <c r="C98" s="289">
        <f>C99</f>
        <v>0</v>
      </c>
      <c r="D98" s="262">
        <f>D99</f>
        <v>350</v>
      </c>
      <c r="E98" s="290">
        <v>0</v>
      </c>
      <c r="F98" s="223"/>
    </row>
    <row r="99" spans="1:6" ht="15.75" customHeight="1" x14ac:dyDescent="0.25">
      <c r="A99" s="291">
        <v>3241</v>
      </c>
      <c r="B99" s="292" t="s">
        <v>143</v>
      </c>
      <c r="C99" s="293">
        <v>0</v>
      </c>
      <c r="D99" s="257">
        <v>350</v>
      </c>
      <c r="E99" s="294">
        <v>0</v>
      </c>
      <c r="F99" s="223"/>
    </row>
    <row r="100" spans="1:6" ht="15.75" customHeight="1" x14ac:dyDescent="0.25">
      <c r="A100" s="288">
        <v>329</v>
      </c>
      <c r="B100" s="284" t="s">
        <v>146</v>
      </c>
      <c r="C100" s="289">
        <f>C101+C102+C103</f>
        <v>11500</v>
      </c>
      <c r="D100" s="262">
        <f>D102</f>
        <v>0</v>
      </c>
      <c r="E100" s="287">
        <f t="shared" si="7"/>
        <v>0</v>
      </c>
      <c r="F100" s="223"/>
    </row>
    <row r="101" spans="1:6" ht="15.75" customHeight="1" x14ac:dyDescent="0.25">
      <c r="A101" s="303">
        <v>3292</v>
      </c>
      <c r="B101" s="304" t="s">
        <v>150</v>
      </c>
      <c r="C101" s="293">
        <v>0</v>
      </c>
      <c r="D101" s="277">
        <v>0</v>
      </c>
      <c r="E101" s="294" t="e">
        <f t="shared" si="7"/>
        <v>#DIV/0!</v>
      </c>
      <c r="F101" s="223"/>
    </row>
    <row r="102" spans="1:6" ht="15.75" customHeight="1" x14ac:dyDescent="0.25">
      <c r="A102" s="291">
        <v>3293</v>
      </c>
      <c r="B102" s="292" t="s">
        <v>152</v>
      </c>
      <c r="C102" s="293">
        <v>10000</v>
      </c>
      <c r="D102" s="257">
        <v>0</v>
      </c>
      <c r="E102" s="294">
        <f t="shared" si="7"/>
        <v>0</v>
      </c>
      <c r="F102" s="223"/>
    </row>
    <row r="103" spans="1:6" ht="15.75" customHeight="1" x14ac:dyDescent="0.25">
      <c r="A103" s="291">
        <v>3296</v>
      </c>
      <c r="B103" s="292" t="s">
        <v>158</v>
      </c>
      <c r="C103" s="293">
        <v>1500</v>
      </c>
      <c r="D103" s="257">
        <v>0</v>
      </c>
      <c r="E103" s="294"/>
      <c r="F103" s="223"/>
    </row>
    <row r="104" spans="1:6" ht="15.75" customHeight="1" x14ac:dyDescent="0.25">
      <c r="A104" s="285">
        <v>34</v>
      </c>
      <c r="B104" s="282" t="s">
        <v>161</v>
      </c>
      <c r="C104" s="286">
        <f>C105</f>
        <v>0</v>
      </c>
      <c r="D104" s="283">
        <f>D105</f>
        <v>0</v>
      </c>
      <c r="E104" s="287" t="e">
        <f t="shared" si="7"/>
        <v>#DIV/0!</v>
      </c>
      <c r="F104" s="223"/>
    </row>
    <row r="105" spans="1:6" ht="15.75" customHeight="1" x14ac:dyDescent="0.25">
      <c r="A105" s="288">
        <v>343</v>
      </c>
      <c r="B105" s="284" t="s">
        <v>163</v>
      </c>
      <c r="C105" s="289">
        <f>C106+C107</f>
        <v>0</v>
      </c>
      <c r="D105" s="262">
        <f>D106</f>
        <v>0</v>
      </c>
      <c r="E105" s="290" t="e">
        <f t="shared" si="7"/>
        <v>#DIV/0!</v>
      </c>
      <c r="F105" s="223"/>
    </row>
    <row r="106" spans="1:6" ht="15.75" customHeight="1" x14ac:dyDescent="0.25">
      <c r="A106" s="291">
        <v>3431</v>
      </c>
      <c r="B106" s="292" t="s">
        <v>165</v>
      </c>
      <c r="C106" s="293">
        <v>0</v>
      </c>
      <c r="D106" s="257">
        <v>0</v>
      </c>
      <c r="E106" s="294">
        <v>0</v>
      </c>
      <c r="F106" s="223"/>
    </row>
    <row r="107" spans="1:6" ht="15.75" customHeight="1" x14ac:dyDescent="0.25">
      <c r="A107" s="291">
        <v>3434</v>
      </c>
      <c r="B107" s="292" t="s">
        <v>394</v>
      </c>
      <c r="C107" s="293">
        <v>0</v>
      </c>
      <c r="D107" s="257">
        <v>0</v>
      </c>
      <c r="E107" s="294" t="e">
        <f t="shared" si="7"/>
        <v>#DIV/0!</v>
      </c>
      <c r="F107" s="223"/>
    </row>
    <row r="108" spans="1:6" ht="31.5" customHeight="1" x14ac:dyDescent="0.25">
      <c r="A108" s="285">
        <v>37</v>
      </c>
      <c r="B108" s="282" t="s">
        <v>204</v>
      </c>
      <c r="C108" s="286">
        <f>C109</f>
        <v>0</v>
      </c>
      <c r="D108" s="257">
        <v>0</v>
      </c>
      <c r="E108" s="294" t="e">
        <f t="shared" ref="E108:E110" si="9">SUM(D108/C108*100)</f>
        <v>#DIV/0!</v>
      </c>
      <c r="F108" s="223"/>
    </row>
    <row r="109" spans="1:6" ht="15.75" customHeight="1" x14ac:dyDescent="0.25">
      <c r="A109" s="288">
        <v>372</v>
      </c>
      <c r="B109" s="284" t="s">
        <v>575</v>
      </c>
      <c r="C109" s="289">
        <f>C110</f>
        <v>0</v>
      </c>
      <c r="D109" s="257">
        <v>0</v>
      </c>
      <c r="E109" s="294" t="e">
        <f t="shared" si="9"/>
        <v>#DIV/0!</v>
      </c>
      <c r="F109" s="223"/>
    </row>
    <row r="110" spans="1:6" ht="15.75" customHeight="1" x14ac:dyDescent="0.25">
      <c r="A110" s="291">
        <v>3721</v>
      </c>
      <c r="B110" s="292" t="s">
        <v>576</v>
      </c>
      <c r="C110" s="293">
        <v>0</v>
      </c>
      <c r="D110" s="257">
        <v>0</v>
      </c>
      <c r="E110" s="294" t="e">
        <f t="shared" si="9"/>
        <v>#DIV/0!</v>
      </c>
      <c r="F110" s="223"/>
    </row>
    <row r="111" spans="1:6" ht="15.75" customHeight="1" x14ac:dyDescent="0.25">
      <c r="A111" s="285">
        <v>38</v>
      </c>
      <c r="B111" s="282" t="s">
        <v>580</v>
      </c>
      <c r="C111" s="286">
        <f>C112</f>
        <v>3500</v>
      </c>
      <c r="D111" s="283">
        <f>D112</f>
        <v>3500</v>
      </c>
      <c r="E111" s="287">
        <f t="shared" si="7"/>
        <v>100</v>
      </c>
      <c r="F111" s="223"/>
    </row>
    <row r="112" spans="1:6" ht="15.75" customHeight="1" x14ac:dyDescent="0.25">
      <c r="A112" s="288">
        <v>381</v>
      </c>
      <c r="B112" s="284" t="s">
        <v>581</v>
      </c>
      <c r="C112" s="289">
        <f>C113</f>
        <v>3500</v>
      </c>
      <c r="D112" s="262">
        <f>D113</f>
        <v>3500</v>
      </c>
      <c r="E112" s="290">
        <f t="shared" si="7"/>
        <v>100</v>
      </c>
      <c r="F112" s="223"/>
    </row>
    <row r="113" spans="1:7" ht="15.75" customHeight="1" x14ac:dyDescent="0.25">
      <c r="A113" s="309">
        <v>3811</v>
      </c>
      <c r="B113" s="310" t="s">
        <v>214</v>
      </c>
      <c r="C113" s="311">
        <v>3500</v>
      </c>
      <c r="D113" s="270">
        <v>3500</v>
      </c>
      <c r="E113" s="312">
        <f t="shared" si="7"/>
        <v>100</v>
      </c>
      <c r="F113" s="223"/>
    </row>
    <row r="114" spans="1:7" s="254" customFormat="1" x14ac:dyDescent="0.25">
      <c r="A114" s="237">
        <v>43</v>
      </c>
      <c r="B114" s="237" t="s">
        <v>58</v>
      </c>
      <c r="C114" s="313">
        <f t="shared" ref="C114:D114" si="10">SUM(C115)</f>
        <v>690338</v>
      </c>
      <c r="D114" s="313">
        <f t="shared" si="10"/>
        <v>343798.34000000008</v>
      </c>
      <c r="E114" s="314">
        <f t="shared" ref="E114" si="11">(D114/C114)*100</f>
        <v>49.801450883480278</v>
      </c>
      <c r="F114" s="223"/>
      <c r="G114" s="253"/>
    </row>
    <row r="115" spans="1:7" s="254" customFormat="1" x14ac:dyDescent="0.25">
      <c r="A115" s="241">
        <v>3</v>
      </c>
      <c r="B115" s="242" t="s">
        <v>82</v>
      </c>
      <c r="C115" s="295">
        <f>SUM(C116,C124,C155)+C160</f>
        <v>690338</v>
      </c>
      <c r="D115" s="295">
        <f>SUM(D116,D124,D155)+D160</f>
        <v>343798.34000000008</v>
      </c>
      <c r="E115" s="295">
        <f>(D115/C115)*100</f>
        <v>49.801450883480278</v>
      </c>
      <c r="F115" s="223"/>
      <c r="G115" s="253"/>
    </row>
    <row r="116" spans="1:7" s="224" customFormat="1" ht="15.75" customHeight="1" x14ac:dyDescent="0.25">
      <c r="A116" s="245">
        <v>31</v>
      </c>
      <c r="B116" s="246" t="s">
        <v>84</v>
      </c>
      <c r="C116" s="315">
        <f>C117+C120+C122</f>
        <v>242975</v>
      </c>
      <c r="D116" s="315">
        <f>SUM(D120)+D117+D122</f>
        <v>146655.6</v>
      </c>
      <c r="E116" s="316">
        <f>(D116/C116)*100</f>
        <v>60.358308467949385</v>
      </c>
      <c r="F116" s="223"/>
      <c r="G116" s="223"/>
    </row>
    <row r="117" spans="1:7" s="224" customFormat="1" ht="15.75" customHeight="1" x14ac:dyDescent="0.25">
      <c r="A117" s="300">
        <v>311</v>
      </c>
      <c r="B117" s="301" t="s">
        <v>573</v>
      </c>
      <c r="C117" s="302">
        <f>C118+C119</f>
        <v>209000</v>
      </c>
      <c r="D117" s="302">
        <f>D118+D119</f>
        <v>123862.68</v>
      </c>
      <c r="E117" s="290">
        <f t="shared" ref="E117:E123" si="12">SUM(D117/C117*100)</f>
        <v>59.264440191387557</v>
      </c>
      <c r="F117" s="223"/>
      <c r="G117" s="223"/>
    </row>
    <row r="118" spans="1:7" s="224" customFormat="1" ht="15.75" customHeight="1" x14ac:dyDescent="0.25">
      <c r="A118" s="291">
        <v>3111</v>
      </c>
      <c r="B118" s="292" t="s">
        <v>88</v>
      </c>
      <c r="C118" s="293">
        <v>195000</v>
      </c>
      <c r="D118" s="293">
        <v>118020.37</v>
      </c>
      <c r="E118" s="294">
        <f t="shared" si="12"/>
        <v>60.523266666666665</v>
      </c>
      <c r="F118" s="223"/>
      <c r="G118" s="223"/>
    </row>
    <row r="119" spans="1:7" s="224" customFormat="1" ht="15.75" customHeight="1" x14ac:dyDescent="0.25">
      <c r="A119" s="291">
        <v>3113</v>
      </c>
      <c r="B119" s="292" t="s">
        <v>90</v>
      </c>
      <c r="C119" s="293">
        <v>14000</v>
      </c>
      <c r="D119" s="293">
        <v>5842.31</v>
      </c>
      <c r="E119" s="294">
        <f t="shared" si="12"/>
        <v>41.730785714285716</v>
      </c>
      <c r="F119" s="223"/>
      <c r="G119" s="223"/>
    </row>
    <row r="120" spans="1:7" s="254" customFormat="1" ht="15.75" customHeight="1" x14ac:dyDescent="0.25">
      <c r="A120" s="249">
        <v>312</v>
      </c>
      <c r="B120" s="250" t="s">
        <v>577</v>
      </c>
      <c r="C120" s="263">
        <f>C121</f>
        <v>1800</v>
      </c>
      <c r="D120" s="263">
        <f>SUM(D121)</f>
        <v>2325.3200000000002</v>
      </c>
      <c r="E120" s="290">
        <f t="shared" si="12"/>
        <v>129.18444444444447</v>
      </c>
      <c r="F120" s="223"/>
      <c r="G120" s="253"/>
    </row>
    <row r="121" spans="1:7" x14ac:dyDescent="0.25">
      <c r="A121" s="255" t="s">
        <v>93</v>
      </c>
      <c r="B121" s="256" t="s">
        <v>577</v>
      </c>
      <c r="C121" s="257">
        <v>1800</v>
      </c>
      <c r="D121" s="257">
        <v>2325.3200000000002</v>
      </c>
      <c r="E121" s="294">
        <f t="shared" si="12"/>
        <v>129.18444444444447</v>
      </c>
      <c r="F121" s="223"/>
      <c r="G121" s="259"/>
    </row>
    <row r="122" spans="1:7" x14ac:dyDescent="0.25">
      <c r="A122" s="288">
        <v>313</v>
      </c>
      <c r="B122" s="284" t="s">
        <v>95</v>
      </c>
      <c r="C122" s="289">
        <f>C123</f>
        <v>32175</v>
      </c>
      <c r="D122" s="289">
        <f>D123</f>
        <v>20467.599999999999</v>
      </c>
      <c r="E122" s="290">
        <f t="shared" si="12"/>
        <v>63.613364413364401</v>
      </c>
      <c r="F122" s="223"/>
      <c r="G122" s="259"/>
    </row>
    <row r="123" spans="1:7" x14ac:dyDescent="0.25">
      <c r="A123" s="303">
        <v>3132</v>
      </c>
      <c r="B123" s="304" t="s">
        <v>578</v>
      </c>
      <c r="C123" s="293">
        <v>32175</v>
      </c>
      <c r="D123" s="293">
        <v>20467.599999999999</v>
      </c>
      <c r="E123" s="294">
        <f t="shared" si="12"/>
        <v>63.613364413364401</v>
      </c>
      <c r="F123" s="223"/>
      <c r="G123" s="259"/>
    </row>
    <row r="124" spans="1:7" s="224" customFormat="1" ht="15.75" customHeight="1" x14ac:dyDescent="0.25">
      <c r="A124" s="264">
        <v>32</v>
      </c>
      <c r="B124" s="265" t="s">
        <v>99</v>
      </c>
      <c r="C124" s="266">
        <f>C125+C130+C136+C146+C148</f>
        <v>440931</v>
      </c>
      <c r="D124" s="266">
        <f>SUM(D125,D130,D136,D148)+D146</f>
        <v>195704.46000000002</v>
      </c>
      <c r="E124" s="273">
        <f>(D124/C124)*100</f>
        <v>44.384373065173463</v>
      </c>
      <c r="F124" s="223"/>
      <c r="G124" s="223"/>
    </row>
    <row r="125" spans="1:7" s="254" customFormat="1" ht="15.75" customHeight="1" x14ac:dyDescent="0.25">
      <c r="A125" s="249">
        <v>321</v>
      </c>
      <c r="B125" s="250" t="s">
        <v>101</v>
      </c>
      <c r="C125" s="263">
        <f>C126+C127+C128</f>
        <v>20200</v>
      </c>
      <c r="D125" s="263">
        <f>SUM(D126:D127)+D128+D129</f>
        <v>32183.72</v>
      </c>
      <c r="E125" s="274">
        <f t="shared" ref="E125:E154" si="13">(D125/C125)*100</f>
        <v>159.32534653465348</v>
      </c>
      <c r="F125" s="223"/>
      <c r="G125" s="253"/>
    </row>
    <row r="126" spans="1:7" x14ac:dyDescent="0.25">
      <c r="A126" s="255" t="s">
        <v>102</v>
      </c>
      <c r="B126" s="256" t="s">
        <v>103</v>
      </c>
      <c r="C126" s="257">
        <v>18000</v>
      </c>
      <c r="D126" s="257">
        <f>729+3036+1266.32+4893.29+3367.1+2532.29</f>
        <v>15824</v>
      </c>
      <c r="E126" s="278">
        <f t="shared" si="13"/>
        <v>87.911111111111111</v>
      </c>
      <c r="F126" s="223"/>
      <c r="G126" s="259"/>
    </row>
    <row r="127" spans="1:7" x14ac:dyDescent="0.25">
      <c r="A127" s="255" t="s">
        <v>104</v>
      </c>
      <c r="B127" s="256" t="s">
        <v>105</v>
      </c>
      <c r="C127" s="257">
        <v>1700</v>
      </c>
      <c r="D127" s="257">
        <v>971.86</v>
      </c>
      <c r="E127" s="278">
        <f t="shared" si="13"/>
        <v>57.16823529411765</v>
      </c>
      <c r="F127" s="223"/>
      <c r="G127" s="259"/>
    </row>
    <row r="128" spans="1:7" x14ac:dyDescent="0.25">
      <c r="A128" s="255">
        <v>3213</v>
      </c>
      <c r="B128" s="256" t="s">
        <v>107</v>
      </c>
      <c r="C128" s="257">
        <v>500</v>
      </c>
      <c r="D128" s="257">
        <f>14802.99+546.87</f>
        <v>15349.86</v>
      </c>
      <c r="E128" s="278">
        <f t="shared" si="13"/>
        <v>3069.9720000000002</v>
      </c>
      <c r="F128" s="223"/>
      <c r="G128" s="259"/>
    </row>
    <row r="129" spans="1:7" ht="31.5" x14ac:dyDescent="0.25">
      <c r="A129" s="255">
        <v>3214</v>
      </c>
      <c r="B129" s="256" t="s">
        <v>593</v>
      </c>
      <c r="C129" s="257">
        <v>0</v>
      </c>
      <c r="D129" s="257">
        <v>38</v>
      </c>
      <c r="E129" s="278"/>
      <c r="F129" s="223"/>
      <c r="G129" s="259"/>
    </row>
    <row r="130" spans="1:7" s="254" customFormat="1" ht="15.75" customHeight="1" x14ac:dyDescent="0.25">
      <c r="A130" s="249">
        <v>322</v>
      </c>
      <c r="B130" s="250" t="s">
        <v>111</v>
      </c>
      <c r="C130" s="263">
        <f>C131+C132+C133+C134+C135</f>
        <v>43300</v>
      </c>
      <c r="D130" s="263">
        <f>D131+D132+D133+D134+D135</f>
        <v>18826.420000000002</v>
      </c>
      <c r="E130" s="274">
        <f t="shared" si="13"/>
        <v>43.479030023094694</v>
      </c>
      <c r="F130" s="223"/>
      <c r="G130" s="253"/>
    </row>
    <row r="131" spans="1:7" x14ac:dyDescent="0.25">
      <c r="A131" s="255" t="s">
        <v>112</v>
      </c>
      <c r="B131" s="256" t="s">
        <v>113</v>
      </c>
      <c r="C131" s="257">
        <v>18175</v>
      </c>
      <c r="D131" s="257">
        <f>554.58+1196.81+39.64+705.06+2413.19</f>
        <v>4909.2800000000007</v>
      </c>
      <c r="E131" s="278">
        <f t="shared" si="13"/>
        <v>27.01116918844567</v>
      </c>
      <c r="F131" s="223"/>
      <c r="G131" s="259"/>
    </row>
    <row r="132" spans="1:7" x14ac:dyDescent="0.25">
      <c r="A132" s="255" t="s">
        <v>114</v>
      </c>
      <c r="B132" s="256" t="s">
        <v>115</v>
      </c>
      <c r="C132" s="257">
        <v>3250</v>
      </c>
      <c r="D132" s="257">
        <v>3180.51</v>
      </c>
      <c r="E132" s="278">
        <f t="shared" si="13"/>
        <v>97.861846153846159</v>
      </c>
      <c r="F132" s="223"/>
      <c r="G132" s="259"/>
    </row>
    <row r="133" spans="1:7" x14ac:dyDescent="0.25">
      <c r="A133" s="255" t="s">
        <v>116</v>
      </c>
      <c r="B133" s="256" t="s">
        <v>117</v>
      </c>
      <c r="C133" s="257">
        <v>16250</v>
      </c>
      <c r="D133" s="257">
        <f>6.83+634.05+5075.14+746.75+2394.69</f>
        <v>8857.4600000000009</v>
      </c>
      <c r="E133" s="278">
        <f t="shared" si="13"/>
        <v>54.507446153846161</v>
      </c>
      <c r="F133" s="223"/>
      <c r="G133" s="259"/>
    </row>
    <row r="134" spans="1:7" x14ac:dyDescent="0.25">
      <c r="A134" s="255">
        <v>3225</v>
      </c>
      <c r="B134" s="256" t="s">
        <v>119</v>
      </c>
      <c r="C134" s="257">
        <v>2500</v>
      </c>
      <c r="D134" s="257">
        <v>756.49</v>
      </c>
      <c r="E134" s="278">
        <f t="shared" si="13"/>
        <v>30.259599999999999</v>
      </c>
      <c r="F134" s="223"/>
      <c r="G134" s="259"/>
    </row>
    <row r="135" spans="1:7" x14ac:dyDescent="0.25">
      <c r="A135" s="255">
        <v>3227</v>
      </c>
      <c r="B135" s="256" t="s">
        <v>582</v>
      </c>
      <c r="C135" s="257">
        <v>3125</v>
      </c>
      <c r="D135" s="257">
        <v>1122.68</v>
      </c>
      <c r="E135" s="278">
        <f t="shared" si="13"/>
        <v>35.925760000000004</v>
      </c>
      <c r="F135" s="223"/>
      <c r="G135" s="259"/>
    </row>
    <row r="136" spans="1:7" s="254" customFormat="1" ht="15.75" customHeight="1" x14ac:dyDescent="0.25">
      <c r="A136" s="249">
        <v>323</v>
      </c>
      <c r="B136" s="250" t="s">
        <v>123</v>
      </c>
      <c r="C136" s="263">
        <f>C137+C138+C139+C140+C141+C142+C143+C144+C145</f>
        <v>289585</v>
      </c>
      <c r="D136" s="263">
        <f>SUM(D137:D145)</f>
        <v>126847.87</v>
      </c>
      <c r="E136" s="274">
        <f t="shared" si="13"/>
        <v>43.803328901704162</v>
      </c>
      <c r="F136" s="223"/>
      <c r="G136" s="253"/>
    </row>
    <row r="137" spans="1:7" x14ac:dyDescent="0.25">
      <c r="A137" s="255" t="s">
        <v>124</v>
      </c>
      <c r="B137" s="256" t="s">
        <v>125</v>
      </c>
      <c r="C137" s="257">
        <v>30114</v>
      </c>
      <c r="D137" s="257">
        <f>437.9+1115.81+39.84+101.88+216.6+9056.76+445.69</f>
        <v>11414.480000000001</v>
      </c>
      <c r="E137" s="278">
        <f t="shared" si="13"/>
        <v>37.904230590423069</v>
      </c>
      <c r="F137" s="223"/>
      <c r="G137" s="259"/>
    </row>
    <row r="138" spans="1:7" x14ac:dyDescent="0.25">
      <c r="A138" s="255" t="s">
        <v>126</v>
      </c>
      <c r="B138" s="256" t="s">
        <v>127</v>
      </c>
      <c r="C138" s="257">
        <v>39625</v>
      </c>
      <c r="D138" s="257">
        <f>7280.83+550.29+235.89+1179.14+931.57+617.63+2602.5</f>
        <v>13397.849999999999</v>
      </c>
      <c r="E138" s="278">
        <f t="shared" si="13"/>
        <v>33.811608832807565</v>
      </c>
      <c r="F138" s="223"/>
      <c r="G138" s="259"/>
    </row>
    <row r="139" spans="1:7" x14ac:dyDescent="0.25">
      <c r="A139" s="255">
        <v>3233</v>
      </c>
      <c r="B139" s="256" t="s">
        <v>129</v>
      </c>
      <c r="C139" s="257">
        <v>22563</v>
      </c>
      <c r="D139" s="257">
        <f>412.06+4989.72+3318</f>
        <v>8719.7800000000007</v>
      </c>
      <c r="E139" s="278">
        <f t="shared" si="13"/>
        <v>38.646367947524709</v>
      </c>
      <c r="F139" s="223"/>
      <c r="G139" s="259"/>
    </row>
    <row r="140" spans="1:7" x14ac:dyDescent="0.25">
      <c r="A140" s="255" t="s">
        <v>130</v>
      </c>
      <c r="B140" s="256" t="s">
        <v>131</v>
      </c>
      <c r="C140" s="257">
        <v>0</v>
      </c>
      <c r="D140" s="257">
        <v>0</v>
      </c>
      <c r="E140" s="278">
        <v>0</v>
      </c>
      <c r="F140" s="223"/>
      <c r="G140" s="259"/>
    </row>
    <row r="141" spans="1:7" x14ac:dyDescent="0.25">
      <c r="A141" s="255">
        <v>3235</v>
      </c>
      <c r="B141" s="256" t="s">
        <v>133</v>
      </c>
      <c r="C141" s="257">
        <v>51658</v>
      </c>
      <c r="D141" s="257">
        <f>140.4+1866.7+12784.65</f>
        <v>14791.75</v>
      </c>
      <c r="E141" s="278">
        <f t="shared" si="13"/>
        <v>28.633996670409228</v>
      </c>
      <c r="F141" s="223"/>
      <c r="G141" s="259"/>
    </row>
    <row r="142" spans="1:7" x14ac:dyDescent="0.25">
      <c r="A142" s="255">
        <v>3236</v>
      </c>
      <c r="B142" s="256" t="s">
        <v>135</v>
      </c>
      <c r="C142" s="257">
        <v>2000</v>
      </c>
      <c r="D142" s="257">
        <v>44.04</v>
      </c>
      <c r="E142" s="278">
        <f t="shared" si="13"/>
        <v>2.202</v>
      </c>
      <c r="F142" s="223"/>
      <c r="G142" s="259"/>
    </row>
    <row r="143" spans="1:7" x14ac:dyDescent="0.25">
      <c r="A143" s="255">
        <v>3237</v>
      </c>
      <c r="B143" s="256" t="s">
        <v>137</v>
      </c>
      <c r="C143" s="257">
        <v>48750</v>
      </c>
      <c r="D143" s="257">
        <f>20460.96+1141.19+15931.59+3312.5+2384.11+956.25+93.75</f>
        <v>44280.35</v>
      </c>
      <c r="E143" s="278">
        <f t="shared" si="13"/>
        <v>90.831487179487183</v>
      </c>
      <c r="F143" s="223"/>
      <c r="G143" s="259"/>
    </row>
    <row r="144" spans="1:7" x14ac:dyDescent="0.25">
      <c r="A144" s="255" t="s">
        <v>138</v>
      </c>
      <c r="B144" s="256" t="s">
        <v>139</v>
      </c>
      <c r="C144" s="257">
        <v>31250</v>
      </c>
      <c r="D144" s="257">
        <f>5986.96+3726.1</f>
        <v>9713.06</v>
      </c>
      <c r="E144" s="278">
        <f t="shared" si="13"/>
        <v>31.081791999999997</v>
      </c>
      <c r="F144" s="223"/>
      <c r="G144" s="259"/>
    </row>
    <row r="145" spans="1:7" x14ac:dyDescent="0.25">
      <c r="A145" s="255" t="s">
        <v>140</v>
      </c>
      <c r="B145" s="256" t="s">
        <v>141</v>
      </c>
      <c r="C145" s="257">
        <v>63625</v>
      </c>
      <c r="D145" s="257">
        <f>7683.35+4995+3682.89+5508.55+2116.77+500</f>
        <v>24486.560000000001</v>
      </c>
      <c r="E145" s="278">
        <f t="shared" si="13"/>
        <v>38.485752455795676</v>
      </c>
      <c r="F145" s="223"/>
      <c r="G145" s="259"/>
    </row>
    <row r="146" spans="1:7" x14ac:dyDescent="0.25">
      <c r="A146" s="260">
        <v>324</v>
      </c>
      <c r="B146" s="261" t="s">
        <v>143</v>
      </c>
      <c r="C146" s="262">
        <f>C147</f>
        <v>14380</v>
      </c>
      <c r="D146" s="262">
        <f>D147</f>
        <v>9743.5300000000007</v>
      </c>
      <c r="E146" s="274">
        <f t="shared" si="13"/>
        <v>67.757510431154387</v>
      </c>
      <c r="F146" s="223"/>
      <c r="G146" s="259"/>
    </row>
    <row r="147" spans="1:7" x14ac:dyDescent="0.25">
      <c r="A147" s="255">
        <v>3241</v>
      </c>
      <c r="B147" s="256" t="s">
        <v>143</v>
      </c>
      <c r="C147" s="257">
        <v>14380</v>
      </c>
      <c r="D147" s="257">
        <v>9743.5300000000007</v>
      </c>
      <c r="E147" s="278">
        <f t="shared" si="13"/>
        <v>67.757510431154387</v>
      </c>
      <c r="F147" s="223"/>
      <c r="G147" s="259"/>
    </row>
    <row r="148" spans="1:7" s="254" customFormat="1" ht="15.75" customHeight="1" x14ac:dyDescent="0.25">
      <c r="A148" s="249">
        <v>329</v>
      </c>
      <c r="B148" s="250" t="s">
        <v>146</v>
      </c>
      <c r="C148" s="263">
        <f>C149+C150+C151+C152+C154+C153</f>
        <v>73466</v>
      </c>
      <c r="D148" s="263">
        <f>SUM(D149:D154)</f>
        <v>8102.920000000001</v>
      </c>
      <c r="E148" s="274">
        <f t="shared" si="13"/>
        <v>11.029483026161763</v>
      </c>
      <c r="F148" s="223"/>
      <c r="G148" s="253"/>
    </row>
    <row r="149" spans="1:7" x14ac:dyDescent="0.25">
      <c r="A149" s="255">
        <v>3292</v>
      </c>
      <c r="B149" s="256" t="s">
        <v>150</v>
      </c>
      <c r="C149" s="257">
        <v>15375</v>
      </c>
      <c r="D149" s="257">
        <f>2300+119.46</f>
        <v>2419.46</v>
      </c>
      <c r="E149" s="278">
        <f t="shared" si="13"/>
        <v>15.736325203252033</v>
      </c>
      <c r="F149" s="223"/>
      <c r="G149" s="259"/>
    </row>
    <row r="150" spans="1:7" x14ac:dyDescent="0.25">
      <c r="A150" s="255" t="s">
        <v>151</v>
      </c>
      <c r="B150" s="256" t="s">
        <v>152</v>
      </c>
      <c r="C150" s="257">
        <v>11591</v>
      </c>
      <c r="D150" s="257">
        <v>3345.89</v>
      </c>
      <c r="E150" s="278">
        <f t="shared" si="13"/>
        <v>28.866275558623066</v>
      </c>
      <c r="F150" s="223"/>
      <c r="G150" s="259"/>
    </row>
    <row r="151" spans="1:7" x14ac:dyDescent="0.25">
      <c r="A151" s="255">
        <v>3294</v>
      </c>
      <c r="B151" s="256" t="s">
        <v>154</v>
      </c>
      <c r="C151" s="257">
        <v>0</v>
      </c>
      <c r="D151" s="257">
        <v>0</v>
      </c>
      <c r="E151" s="278">
        <v>0</v>
      </c>
      <c r="F151" s="223"/>
      <c r="G151" s="259"/>
    </row>
    <row r="152" spans="1:7" x14ac:dyDescent="0.25">
      <c r="A152" s="255">
        <v>3295</v>
      </c>
      <c r="B152" s="256" t="s">
        <v>156</v>
      </c>
      <c r="C152" s="257">
        <v>0</v>
      </c>
      <c r="D152" s="257">
        <f>33.18+784+70.25</f>
        <v>887.43</v>
      </c>
      <c r="E152" s="279">
        <v>0</v>
      </c>
      <c r="F152" s="223"/>
      <c r="G152" s="259"/>
    </row>
    <row r="153" spans="1:7" x14ac:dyDescent="0.25">
      <c r="A153" s="255">
        <v>3296</v>
      </c>
      <c r="B153" s="256" t="s">
        <v>158</v>
      </c>
      <c r="C153" s="257">
        <v>1500</v>
      </c>
      <c r="D153" s="257">
        <v>0</v>
      </c>
      <c r="E153" s="279">
        <v>0</v>
      </c>
      <c r="F153" s="223"/>
      <c r="G153" s="259"/>
    </row>
    <row r="154" spans="1:7" x14ac:dyDescent="0.25">
      <c r="A154" s="255" t="s">
        <v>159</v>
      </c>
      <c r="B154" s="256" t="s">
        <v>146</v>
      </c>
      <c r="C154" s="257">
        <v>45000</v>
      </c>
      <c r="D154" s="257">
        <v>1450.14</v>
      </c>
      <c r="E154" s="279">
        <f t="shared" si="13"/>
        <v>3.2225333333333337</v>
      </c>
      <c r="F154" s="223"/>
      <c r="G154" s="259"/>
    </row>
    <row r="155" spans="1:7" s="224" customFormat="1" ht="15.75" customHeight="1" x14ac:dyDescent="0.25">
      <c r="A155" s="264">
        <v>34</v>
      </c>
      <c r="B155" s="265" t="s">
        <v>161</v>
      </c>
      <c r="C155" s="266">
        <f>C157</f>
        <v>3732</v>
      </c>
      <c r="D155" s="266">
        <f>D156</f>
        <v>1438.2800000000002</v>
      </c>
      <c r="E155" s="273">
        <f>(D155/C155)*100</f>
        <v>38.539121114683823</v>
      </c>
      <c r="F155" s="223"/>
      <c r="G155" s="223"/>
    </row>
    <row r="156" spans="1:7" s="254" customFormat="1" ht="15.75" customHeight="1" x14ac:dyDescent="0.25">
      <c r="A156" s="249">
        <v>343</v>
      </c>
      <c r="B156" s="250" t="s">
        <v>163</v>
      </c>
      <c r="C156" s="263">
        <f>C157+C158+C159</f>
        <v>3732</v>
      </c>
      <c r="D156" s="263">
        <f>SUM(D157)+D158+D159</f>
        <v>1438.2800000000002</v>
      </c>
      <c r="E156" s="280">
        <v>0</v>
      </c>
      <c r="F156" s="223"/>
      <c r="G156" s="253"/>
    </row>
    <row r="157" spans="1:7" x14ac:dyDescent="0.25">
      <c r="A157" s="255" t="s">
        <v>164</v>
      </c>
      <c r="B157" s="256" t="s">
        <v>165</v>
      </c>
      <c r="C157" s="257">
        <v>3732</v>
      </c>
      <c r="D157" s="257">
        <f>27+1250.66</f>
        <v>1277.6600000000001</v>
      </c>
      <c r="E157" s="279">
        <v>0</v>
      </c>
      <c r="F157" s="223"/>
      <c r="G157" s="259"/>
    </row>
    <row r="158" spans="1:7" ht="31.5" x14ac:dyDescent="0.25">
      <c r="A158" s="255">
        <v>3432</v>
      </c>
      <c r="B158" s="256" t="s">
        <v>574</v>
      </c>
      <c r="C158" s="257">
        <v>0</v>
      </c>
      <c r="D158" s="257">
        <v>160.62</v>
      </c>
      <c r="E158" s="279">
        <v>0</v>
      </c>
      <c r="F158" s="223"/>
      <c r="G158" s="259"/>
    </row>
    <row r="159" spans="1:7" x14ac:dyDescent="0.25">
      <c r="A159" s="255">
        <v>3433</v>
      </c>
      <c r="B159" s="256" t="s">
        <v>392</v>
      </c>
      <c r="C159" s="257">
        <v>0</v>
      </c>
      <c r="D159" s="257">
        <v>0</v>
      </c>
      <c r="E159" s="279">
        <v>0</v>
      </c>
      <c r="F159" s="223"/>
      <c r="G159" s="259"/>
    </row>
    <row r="160" spans="1:7" ht="31.5" x14ac:dyDescent="0.25">
      <c r="A160" s="317">
        <v>37</v>
      </c>
      <c r="B160" s="318" t="s">
        <v>204</v>
      </c>
      <c r="C160" s="319">
        <f>C161</f>
        <v>2700</v>
      </c>
      <c r="D160" s="320">
        <f>D161</f>
        <v>0</v>
      </c>
      <c r="E160" s="321">
        <v>0</v>
      </c>
      <c r="F160" s="223"/>
      <c r="G160" s="259"/>
    </row>
    <row r="161" spans="1:9" x14ac:dyDescent="0.25">
      <c r="A161" s="288">
        <v>372</v>
      </c>
      <c r="B161" s="284" t="s">
        <v>575</v>
      </c>
      <c r="C161" s="289">
        <f>C162</f>
        <v>2700</v>
      </c>
      <c r="D161" s="262">
        <f>D162</f>
        <v>0</v>
      </c>
      <c r="E161" s="294">
        <v>0</v>
      </c>
      <c r="F161" s="223"/>
      <c r="G161" s="259"/>
    </row>
    <row r="162" spans="1:9" x14ac:dyDescent="0.25">
      <c r="A162" s="291">
        <v>3721</v>
      </c>
      <c r="B162" s="292" t="s">
        <v>576</v>
      </c>
      <c r="C162" s="293">
        <v>2700</v>
      </c>
      <c r="D162" s="257">
        <v>0</v>
      </c>
      <c r="E162" s="294">
        <v>0</v>
      </c>
      <c r="F162" s="223"/>
      <c r="G162" s="259"/>
    </row>
    <row r="163" spans="1:9" x14ac:dyDescent="0.25">
      <c r="A163" s="234" t="s">
        <v>533</v>
      </c>
      <c r="B163" s="235" t="s">
        <v>588</v>
      </c>
      <c r="C163" s="236">
        <f>C164</f>
        <v>17958</v>
      </c>
      <c r="D163" s="236">
        <f>D164</f>
        <v>49805.38</v>
      </c>
      <c r="E163" s="236">
        <f>SUM(D163/C163*100)</f>
        <v>277.34369083416863</v>
      </c>
      <c r="F163" s="223"/>
      <c r="G163" s="259"/>
    </row>
    <row r="164" spans="1:9" s="254" customFormat="1" x14ac:dyDescent="0.25">
      <c r="A164" s="322">
        <v>52</v>
      </c>
      <c r="B164" s="323" t="s">
        <v>63</v>
      </c>
      <c r="C164" s="324">
        <f t="shared" ref="C164:D164" si="14">SUM(C165)</f>
        <v>17958</v>
      </c>
      <c r="D164" s="324">
        <f t="shared" si="14"/>
        <v>49805.38</v>
      </c>
      <c r="E164" s="325">
        <f t="shared" ref="E164:E165" si="15">(D164/C164)*100</f>
        <v>277.34369083416863</v>
      </c>
      <c r="F164" s="253"/>
      <c r="G164" s="253"/>
      <c r="H164" s="253"/>
      <c r="I164" s="253"/>
    </row>
    <row r="165" spans="1:9" s="244" customFormat="1" x14ac:dyDescent="0.25">
      <c r="A165" s="326">
        <v>3</v>
      </c>
      <c r="B165" s="250" t="s">
        <v>82</v>
      </c>
      <c r="C165" s="263">
        <f>C166+C171</f>
        <v>17958</v>
      </c>
      <c r="D165" s="263">
        <f>D166+D171</f>
        <v>49805.38</v>
      </c>
      <c r="E165" s="280">
        <f t="shared" si="15"/>
        <v>277.34369083416863</v>
      </c>
    </row>
    <row r="166" spans="1:9" s="244" customFormat="1" x14ac:dyDescent="0.25">
      <c r="A166" s="264">
        <v>31</v>
      </c>
      <c r="B166" s="265" t="s">
        <v>84</v>
      </c>
      <c r="C166" s="266">
        <f>C167</f>
        <v>0</v>
      </c>
      <c r="D166" s="266">
        <f>D167+D169</f>
        <v>22874.37</v>
      </c>
      <c r="E166" s="273">
        <v>0</v>
      </c>
    </row>
    <row r="167" spans="1:9" s="244" customFormat="1" x14ac:dyDescent="0.25">
      <c r="A167" s="300">
        <v>311</v>
      </c>
      <c r="B167" s="301" t="s">
        <v>573</v>
      </c>
      <c r="C167" s="302">
        <f>C168</f>
        <v>0</v>
      </c>
      <c r="D167" s="302">
        <f>D168</f>
        <v>19621.52</v>
      </c>
      <c r="E167" s="290">
        <v>0</v>
      </c>
    </row>
    <row r="168" spans="1:9" s="244" customFormat="1" x14ac:dyDescent="0.25">
      <c r="A168" s="291">
        <v>3111</v>
      </c>
      <c r="B168" s="292" t="s">
        <v>88</v>
      </c>
      <c r="C168" s="293">
        <v>0</v>
      </c>
      <c r="D168" s="293">
        <v>19621.52</v>
      </c>
      <c r="E168" s="294">
        <v>0</v>
      </c>
    </row>
    <row r="169" spans="1:9" ht="14.45" customHeight="1" x14ac:dyDescent="0.25">
      <c r="A169" s="288">
        <v>313</v>
      </c>
      <c r="B169" s="284" t="s">
        <v>95</v>
      </c>
      <c r="C169" s="289">
        <f>C170</f>
        <v>0</v>
      </c>
      <c r="D169" s="289">
        <f>D170</f>
        <v>3252.85</v>
      </c>
      <c r="E169" s="290">
        <v>0</v>
      </c>
      <c r="F169" s="259"/>
      <c r="G169" s="259"/>
    </row>
    <row r="170" spans="1:9" s="254" customFormat="1" ht="14.45" customHeight="1" x14ac:dyDescent="0.25">
      <c r="A170" s="303">
        <v>3132</v>
      </c>
      <c r="B170" s="304" t="s">
        <v>578</v>
      </c>
      <c r="C170" s="293">
        <v>0</v>
      </c>
      <c r="D170" s="293">
        <v>3252.85</v>
      </c>
      <c r="E170" s="294">
        <v>0</v>
      </c>
      <c r="F170" s="253"/>
      <c r="G170" s="253"/>
    </row>
    <row r="171" spans="1:9" ht="14.45" customHeight="1" x14ac:dyDescent="0.25">
      <c r="A171" s="264">
        <v>32</v>
      </c>
      <c r="B171" s="265" t="s">
        <v>99</v>
      </c>
      <c r="C171" s="266">
        <f>C172+C175+C184</f>
        <v>17958</v>
      </c>
      <c r="D171" s="266">
        <f>D172+D175+D184+D182</f>
        <v>26931.01</v>
      </c>
      <c r="E171" s="273">
        <f>(D171/C171)*100</f>
        <v>149.96664439247132</v>
      </c>
      <c r="F171" s="259"/>
      <c r="G171" s="259"/>
    </row>
    <row r="172" spans="1:9" s="254" customFormat="1" ht="14.25" customHeight="1" x14ac:dyDescent="0.25">
      <c r="A172" s="249">
        <v>321</v>
      </c>
      <c r="B172" s="250" t="s">
        <v>101</v>
      </c>
      <c r="C172" s="263">
        <f>C173+C174</f>
        <v>11958</v>
      </c>
      <c r="D172" s="263">
        <f>D173+D174</f>
        <v>21690</v>
      </c>
      <c r="E172" s="274">
        <f t="shared" ref="E172:E175" si="16">(D172/C172)*100</f>
        <v>181.3848469643753</v>
      </c>
      <c r="F172" s="253"/>
      <c r="G172" s="253"/>
    </row>
    <row r="173" spans="1:9" s="327" customFormat="1" x14ac:dyDescent="0.25">
      <c r="A173" s="255" t="s">
        <v>102</v>
      </c>
      <c r="B173" s="256" t="s">
        <v>103</v>
      </c>
      <c r="C173" s="257">
        <f>500+6458+500+1500+1000</f>
        <v>9958</v>
      </c>
      <c r="D173" s="257">
        <f>30+88.5+88.5</f>
        <v>207</v>
      </c>
      <c r="E173" s="278">
        <f t="shared" si="16"/>
        <v>2.0787306688089977</v>
      </c>
    </row>
    <row r="174" spans="1:9" s="327" customFormat="1" x14ac:dyDescent="0.25">
      <c r="A174" s="255">
        <v>3213</v>
      </c>
      <c r="B174" s="355" t="s">
        <v>107</v>
      </c>
      <c r="C174" s="356">
        <v>2000</v>
      </c>
      <c r="D174" s="257">
        <v>21483</v>
      </c>
      <c r="E174" s="278">
        <f t="shared" si="16"/>
        <v>1074.1500000000001</v>
      </c>
    </row>
    <row r="175" spans="1:9" s="327" customFormat="1" x14ac:dyDescent="0.25">
      <c r="A175" s="260">
        <v>323</v>
      </c>
      <c r="B175" s="328" t="s">
        <v>123</v>
      </c>
      <c r="C175" s="332">
        <f>C179</f>
        <v>5000</v>
      </c>
      <c r="D175" s="262">
        <f>D176+D177+D178+D179+D180+D181</f>
        <v>2890.32</v>
      </c>
      <c r="E175" s="274">
        <f t="shared" si="16"/>
        <v>57.806400000000004</v>
      </c>
    </row>
    <row r="176" spans="1:9" s="327" customFormat="1" x14ac:dyDescent="0.25">
      <c r="A176" s="255" t="s">
        <v>124</v>
      </c>
      <c r="B176" s="330" t="s">
        <v>125</v>
      </c>
      <c r="C176" s="329">
        <v>0</v>
      </c>
      <c r="D176" s="257">
        <v>0</v>
      </c>
      <c r="E176" s="278">
        <v>0</v>
      </c>
    </row>
    <row r="177" spans="1:7" s="327" customFormat="1" x14ac:dyDescent="0.25">
      <c r="A177" s="255" t="s">
        <v>128</v>
      </c>
      <c r="B177" s="330" t="s">
        <v>129</v>
      </c>
      <c r="C177" s="329">
        <v>0</v>
      </c>
      <c r="D177" s="257">
        <v>0</v>
      </c>
      <c r="E177" s="278">
        <v>0</v>
      </c>
    </row>
    <row r="178" spans="1:7" s="327" customFormat="1" x14ac:dyDescent="0.25">
      <c r="A178" s="255" t="s">
        <v>132</v>
      </c>
      <c r="B178" s="330" t="s">
        <v>133</v>
      </c>
      <c r="C178" s="329">
        <v>0</v>
      </c>
      <c r="D178" s="257">
        <v>82.77</v>
      </c>
      <c r="E178" s="278">
        <v>0</v>
      </c>
    </row>
    <row r="179" spans="1:7" s="327" customFormat="1" x14ac:dyDescent="0.25">
      <c r="A179" s="255" t="s">
        <v>136</v>
      </c>
      <c r="B179" s="330" t="s">
        <v>137</v>
      </c>
      <c r="C179" s="329">
        <v>5000</v>
      </c>
      <c r="D179" s="257">
        <f>1824.54+976.15</f>
        <v>2800.69</v>
      </c>
      <c r="E179" s="278">
        <v>0</v>
      </c>
    </row>
    <row r="180" spans="1:7" s="327" customFormat="1" x14ac:dyDescent="0.25">
      <c r="A180" s="255" t="s">
        <v>138</v>
      </c>
      <c r="B180" s="330" t="s">
        <v>139</v>
      </c>
      <c r="C180" s="365">
        <v>0</v>
      </c>
      <c r="D180" s="257">
        <v>6.86</v>
      </c>
      <c r="E180" s="278">
        <v>0</v>
      </c>
    </row>
    <row r="181" spans="1:7" s="327" customFormat="1" x14ac:dyDescent="0.25">
      <c r="A181" s="255" t="s">
        <v>140</v>
      </c>
      <c r="B181" s="330" t="s">
        <v>141</v>
      </c>
      <c r="C181" s="329">
        <v>0</v>
      </c>
      <c r="D181" s="257">
        <v>0</v>
      </c>
      <c r="E181" s="278">
        <v>0</v>
      </c>
    </row>
    <row r="182" spans="1:7" s="327" customFormat="1" x14ac:dyDescent="0.25">
      <c r="A182" s="260">
        <v>324</v>
      </c>
      <c r="B182" s="261" t="s">
        <v>143</v>
      </c>
      <c r="C182" s="262">
        <f>C183</f>
        <v>0</v>
      </c>
      <c r="D182" s="262">
        <f>D183</f>
        <v>1440</v>
      </c>
      <c r="E182" s="274" t="e">
        <f t="shared" ref="E182:E184" si="17">(D182/C182)*100</f>
        <v>#DIV/0!</v>
      </c>
    </row>
    <row r="183" spans="1:7" s="327" customFormat="1" x14ac:dyDescent="0.25">
      <c r="A183" s="255">
        <v>3241</v>
      </c>
      <c r="B183" s="256" t="s">
        <v>143</v>
      </c>
      <c r="C183" s="257">
        <v>0</v>
      </c>
      <c r="D183" s="257">
        <v>1440</v>
      </c>
      <c r="E183" s="278" t="e">
        <f t="shared" si="17"/>
        <v>#DIV/0!</v>
      </c>
    </row>
    <row r="184" spans="1:7" s="327" customFormat="1" x14ac:dyDescent="0.25">
      <c r="A184" s="260">
        <v>329</v>
      </c>
      <c r="B184" s="328" t="s">
        <v>146</v>
      </c>
      <c r="C184" s="332">
        <f>C185</f>
        <v>1000</v>
      </c>
      <c r="D184" s="262">
        <f>D185+D186+D187</f>
        <v>910.69</v>
      </c>
      <c r="E184" s="278">
        <f t="shared" si="17"/>
        <v>91.069000000000003</v>
      </c>
    </row>
    <row r="185" spans="1:7" s="327" customFormat="1" x14ac:dyDescent="0.25">
      <c r="A185" s="255" t="s">
        <v>151</v>
      </c>
      <c r="B185" s="331" t="s">
        <v>152</v>
      </c>
      <c r="C185" s="329">
        <v>1000</v>
      </c>
      <c r="D185" s="257">
        <v>0</v>
      </c>
      <c r="E185" s="278">
        <v>0</v>
      </c>
    </row>
    <row r="186" spans="1:7" s="327" customFormat="1" x14ac:dyDescent="0.25">
      <c r="A186" s="255" t="s">
        <v>153</v>
      </c>
      <c r="B186" s="331" t="s">
        <v>154</v>
      </c>
      <c r="C186" s="329">
        <v>0</v>
      </c>
      <c r="D186" s="257">
        <f>128+782.69</f>
        <v>910.69</v>
      </c>
      <c r="E186" s="278">
        <v>0</v>
      </c>
    </row>
    <row r="187" spans="1:7" s="327" customFormat="1" x14ac:dyDescent="0.25">
      <c r="A187" s="255" t="s">
        <v>159</v>
      </c>
      <c r="B187" s="331" t="s">
        <v>146</v>
      </c>
      <c r="C187" s="332">
        <v>0</v>
      </c>
      <c r="D187" s="333">
        <v>0</v>
      </c>
      <c r="E187" s="278">
        <v>0</v>
      </c>
    </row>
    <row r="188" spans="1:7" s="339" customFormat="1" x14ac:dyDescent="0.25">
      <c r="A188" s="335" t="s">
        <v>532</v>
      </c>
      <c r="B188" s="336" t="s">
        <v>589</v>
      </c>
      <c r="C188" s="337">
        <f>C189</f>
        <v>0</v>
      </c>
      <c r="D188" s="337">
        <f>D189</f>
        <v>2098.38</v>
      </c>
      <c r="E188" s="338" t="e">
        <f t="shared" ref="E188:E232" si="18">(D188/C188)*100</f>
        <v>#DIV/0!</v>
      </c>
    </row>
    <row r="189" spans="1:7" s="339" customFormat="1" x14ac:dyDescent="0.25">
      <c r="A189" s="237">
        <v>11</v>
      </c>
      <c r="B189" s="237" t="s">
        <v>55</v>
      </c>
      <c r="C189" s="238">
        <f t="shared" ref="C189:D190" si="19">SUM(C190)</f>
        <v>0</v>
      </c>
      <c r="D189" s="238">
        <f t="shared" si="19"/>
        <v>2098.38</v>
      </c>
      <c r="E189" s="340" t="e">
        <f t="shared" si="18"/>
        <v>#DIV/0!</v>
      </c>
    </row>
    <row r="190" spans="1:7" s="339" customFormat="1" x14ac:dyDescent="0.25">
      <c r="A190" s="295">
        <v>4</v>
      </c>
      <c r="B190" s="334" t="s">
        <v>227</v>
      </c>
      <c r="C190" s="341">
        <f t="shared" si="19"/>
        <v>0</v>
      </c>
      <c r="D190" s="341">
        <f t="shared" si="19"/>
        <v>2098.38</v>
      </c>
      <c r="E190" s="342" t="e">
        <f t="shared" si="18"/>
        <v>#DIV/0!</v>
      </c>
    </row>
    <row r="191" spans="1:7" s="344" customFormat="1" x14ac:dyDescent="0.25">
      <c r="A191" s="296">
        <v>42</v>
      </c>
      <c r="B191" s="297" t="s">
        <v>234</v>
      </c>
      <c r="C191" s="298">
        <f>C192</f>
        <v>0</v>
      </c>
      <c r="D191" s="298">
        <f>SUM(D192)</f>
        <v>2098.38</v>
      </c>
      <c r="E191" s="343" t="e">
        <f t="shared" si="18"/>
        <v>#DIV/0!</v>
      </c>
      <c r="F191" s="339"/>
      <c r="G191" s="339"/>
    </row>
    <row r="192" spans="1:7" s="254" customFormat="1" x14ac:dyDescent="0.25">
      <c r="A192" s="300">
        <v>422</v>
      </c>
      <c r="B192" s="301" t="s">
        <v>240</v>
      </c>
      <c r="C192" s="302">
        <f>C193</f>
        <v>0</v>
      </c>
      <c r="D192" s="302">
        <f t="shared" ref="D192" si="20">SUM(D193)</f>
        <v>2098.38</v>
      </c>
      <c r="E192" s="345" t="e">
        <f t="shared" si="18"/>
        <v>#DIV/0!</v>
      </c>
      <c r="F192" s="339"/>
      <c r="G192" s="339"/>
    </row>
    <row r="193" spans="1:7" x14ac:dyDescent="0.25">
      <c r="A193" s="309">
        <v>4221</v>
      </c>
      <c r="B193" s="310" t="s">
        <v>594</v>
      </c>
      <c r="C193" s="311">
        <v>0</v>
      </c>
      <c r="D193" s="311">
        <f>1158.75+939.63</f>
        <v>2098.38</v>
      </c>
      <c r="E193" s="346" t="e">
        <f t="shared" si="18"/>
        <v>#DIV/0!</v>
      </c>
      <c r="F193" s="339"/>
      <c r="G193" s="339"/>
    </row>
    <row r="194" spans="1:7" x14ac:dyDescent="0.25">
      <c r="A194" s="234" t="s">
        <v>534</v>
      </c>
      <c r="B194" s="235" t="s">
        <v>587</v>
      </c>
      <c r="C194" s="236">
        <f>C195+C214</f>
        <v>135845</v>
      </c>
      <c r="D194" s="236">
        <f>D195+D230</f>
        <v>26572.29</v>
      </c>
      <c r="E194" s="236">
        <f>SUM(D194/C194*100)</f>
        <v>19.560742022157605</v>
      </c>
      <c r="F194" s="339"/>
      <c r="G194" s="339"/>
    </row>
    <row r="195" spans="1:7" x14ac:dyDescent="0.25">
      <c r="A195" s="237">
        <v>31</v>
      </c>
      <c r="B195" s="237" t="s">
        <v>485</v>
      </c>
      <c r="C195" s="313">
        <f t="shared" ref="C195:D195" si="21">SUM(C196)</f>
        <v>109670</v>
      </c>
      <c r="D195" s="313">
        <f t="shared" si="21"/>
        <v>26572.29</v>
      </c>
      <c r="E195" s="314">
        <f t="shared" ref="E195:E203" si="22">(D195/C195)*100</f>
        <v>24.229315218382421</v>
      </c>
      <c r="F195" s="339"/>
      <c r="G195" s="339"/>
    </row>
    <row r="196" spans="1:7" x14ac:dyDescent="0.25">
      <c r="A196" s="295">
        <v>4</v>
      </c>
      <c r="B196" s="334" t="s">
        <v>227</v>
      </c>
      <c r="C196" s="341">
        <f>C197+C200+C211</f>
        <v>109670</v>
      </c>
      <c r="D196" s="341">
        <f>D197+D200+D214</f>
        <v>26572.29</v>
      </c>
      <c r="E196" s="342">
        <f t="shared" si="22"/>
        <v>24.229315218382421</v>
      </c>
      <c r="F196" s="339"/>
      <c r="G196" s="339"/>
    </row>
    <row r="197" spans="1:7" x14ac:dyDescent="0.25">
      <c r="A197" s="347">
        <v>41</v>
      </c>
      <c r="B197" s="348" t="s">
        <v>228</v>
      </c>
      <c r="C197" s="349">
        <f>C198</f>
        <v>20000</v>
      </c>
      <c r="D197" s="349">
        <f>D198</f>
        <v>0</v>
      </c>
      <c r="E197" s="343">
        <f t="shared" si="22"/>
        <v>0</v>
      </c>
      <c r="F197" s="339"/>
      <c r="G197" s="339"/>
    </row>
    <row r="198" spans="1:7" x14ac:dyDescent="0.25">
      <c r="A198" s="288">
        <v>412</v>
      </c>
      <c r="B198" s="284" t="s">
        <v>230</v>
      </c>
      <c r="C198" s="289">
        <f>C199</f>
        <v>20000</v>
      </c>
      <c r="D198" s="289">
        <f>D199</f>
        <v>0</v>
      </c>
      <c r="E198" s="350">
        <f t="shared" si="22"/>
        <v>0</v>
      </c>
      <c r="F198" s="339"/>
      <c r="G198" s="339"/>
    </row>
    <row r="199" spans="1:7" x14ac:dyDescent="0.25">
      <c r="A199" s="291">
        <v>4124</v>
      </c>
      <c r="B199" s="292" t="s">
        <v>348</v>
      </c>
      <c r="C199" s="293">
        <v>20000</v>
      </c>
      <c r="D199" s="293">
        <v>0</v>
      </c>
      <c r="E199" s="351">
        <f t="shared" si="22"/>
        <v>0</v>
      </c>
      <c r="F199" s="339"/>
      <c r="G199" s="339"/>
    </row>
    <row r="200" spans="1:7" x14ac:dyDescent="0.25">
      <c r="A200" s="305">
        <v>42</v>
      </c>
      <c r="B200" s="306" t="s">
        <v>234</v>
      </c>
      <c r="C200" s="307">
        <f>C201+C207+C209</f>
        <v>83670</v>
      </c>
      <c r="D200" s="307">
        <f>D201+D207+D209</f>
        <v>16315.830000000002</v>
      </c>
      <c r="E200" s="345">
        <f t="shared" si="22"/>
        <v>19.500215130871283</v>
      </c>
      <c r="F200" s="339"/>
      <c r="G200" s="339"/>
    </row>
    <row r="201" spans="1:7" x14ac:dyDescent="0.25">
      <c r="A201" s="300">
        <v>422</v>
      </c>
      <c r="B201" s="301" t="s">
        <v>240</v>
      </c>
      <c r="C201" s="302">
        <f>C202+C203+C204+C205+C206</f>
        <v>77670</v>
      </c>
      <c r="D201" s="302">
        <f>SUM(D202)+D203+D204+D205+D206</f>
        <v>14519.12</v>
      </c>
      <c r="E201" s="350">
        <f t="shared" si="22"/>
        <v>18.69334363332046</v>
      </c>
      <c r="F201" s="339"/>
      <c r="G201" s="339"/>
    </row>
    <row r="202" spans="1:7" x14ac:dyDescent="0.25">
      <c r="A202" s="291">
        <v>4221</v>
      </c>
      <c r="B202" s="292" t="s">
        <v>242</v>
      </c>
      <c r="C202" s="293">
        <v>30000</v>
      </c>
      <c r="D202" s="293">
        <v>13755.37</v>
      </c>
      <c r="E202" s="351">
        <f t="shared" si="22"/>
        <v>45.851233333333333</v>
      </c>
      <c r="F202" s="339"/>
      <c r="G202" s="339"/>
    </row>
    <row r="203" spans="1:7" x14ac:dyDescent="0.25">
      <c r="A203" s="291">
        <v>4222</v>
      </c>
      <c r="B203" s="292" t="s">
        <v>437</v>
      </c>
      <c r="C203" s="293">
        <v>5620</v>
      </c>
      <c r="D203" s="293">
        <v>763.75</v>
      </c>
      <c r="E203" s="351">
        <f t="shared" si="22"/>
        <v>13.589857651245552</v>
      </c>
      <c r="F203" s="339"/>
      <c r="G203" s="339"/>
    </row>
    <row r="204" spans="1:7" x14ac:dyDescent="0.25">
      <c r="A204" s="291">
        <v>4223</v>
      </c>
      <c r="B204" s="292" t="s">
        <v>439</v>
      </c>
      <c r="C204" s="293">
        <v>0</v>
      </c>
      <c r="D204" s="293">
        <v>0</v>
      </c>
      <c r="E204" s="351">
        <v>0</v>
      </c>
      <c r="F204" s="339"/>
      <c r="G204" s="339"/>
    </row>
    <row r="205" spans="1:7" x14ac:dyDescent="0.25">
      <c r="A205" s="291">
        <v>4225</v>
      </c>
      <c r="B205" s="292" t="s">
        <v>441</v>
      </c>
      <c r="C205" s="293">
        <v>3300</v>
      </c>
      <c r="D205" s="293">
        <v>0</v>
      </c>
      <c r="E205" s="351">
        <f t="shared" ref="E205:E213" si="23">(D205/C205)*100</f>
        <v>0</v>
      </c>
      <c r="F205" s="339"/>
      <c r="G205" s="339"/>
    </row>
    <row r="206" spans="1:7" x14ac:dyDescent="0.25">
      <c r="A206" s="291">
        <v>4227</v>
      </c>
      <c r="B206" s="292" t="s">
        <v>362</v>
      </c>
      <c r="C206" s="293">
        <v>38750</v>
      </c>
      <c r="D206" s="293">
        <v>0</v>
      </c>
      <c r="E206" s="351">
        <f t="shared" si="23"/>
        <v>0</v>
      </c>
      <c r="F206" s="339"/>
      <c r="G206" s="339"/>
    </row>
    <row r="207" spans="1:7" x14ac:dyDescent="0.25">
      <c r="A207" s="288">
        <v>424</v>
      </c>
      <c r="B207" s="284" t="s">
        <v>583</v>
      </c>
      <c r="C207" s="289">
        <f>C208</f>
        <v>0</v>
      </c>
      <c r="D207" s="289">
        <f>D208</f>
        <v>0</v>
      </c>
      <c r="E207" s="350" t="e">
        <f t="shared" si="23"/>
        <v>#DIV/0!</v>
      </c>
      <c r="F207" s="339"/>
      <c r="G207" s="339"/>
    </row>
    <row r="208" spans="1:7" x14ac:dyDescent="0.25">
      <c r="A208" s="291">
        <v>4241</v>
      </c>
      <c r="B208" s="292" t="s">
        <v>451</v>
      </c>
      <c r="C208" s="293">
        <v>0</v>
      </c>
      <c r="D208" s="293">
        <v>0</v>
      </c>
      <c r="E208" s="351" t="e">
        <f t="shared" si="23"/>
        <v>#DIV/0!</v>
      </c>
      <c r="F208" s="339"/>
      <c r="G208" s="339"/>
    </row>
    <row r="209" spans="1:7" x14ac:dyDescent="0.25">
      <c r="A209" s="288">
        <v>426</v>
      </c>
      <c r="B209" s="284" t="s">
        <v>246</v>
      </c>
      <c r="C209" s="289">
        <f>C210</f>
        <v>6000</v>
      </c>
      <c r="D209" s="289">
        <f>D210</f>
        <v>1796.71</v>
      </c>
      <c r="E209" s="350">
        <f t="shared" si="23"/>
        <v>29.945166666666665</v>
      </c>
      <c r="F209" s="339"/>
      <c r="G209" s="339"/>
    </row>
    <row r="210" spans="1:7" x14ac:dyDescent="0.25">
      <c r="A210" s="291">
        <v>4262</v>
      </c>
      <c r="B210" s="292" t="s">
        <v>248</v>
      </c>
      <c r="C210" s="293">
        <v>6000</v>
      </c>
      <c r="D210" s="293">
        <v>1796.71</v>
      </c>
      <c r="E210" s="351">
        <f t="shared" si="23"/>
        <v>29.945166666666665</v>
      </c>
      <c r="F210" s="339"/>
      <c r="G210" s="339"/>
    </row>
    <row r="211" spans="1:7" x14ac:dyDescent="0.25">
      <c r="A211" s="285">
        <v>45</v>
      </c>
      <c r="B211" s="282" t="s">
        <v>250</v>
      </c>
      <c r="C211" s="286">
        <f>C212</f>
        <v>6000</v>
      </c>
      <c r="D211" s="286">
        <f>D212</f>
        <v>0</v>
      </c>
      <c r="E211" s="351">
        <f t="shared" si="23"/>
        <v>0</v>
      </c>
      <c r="F211" s="339"/>
      <c r="G211" s="339"/>
    </row>
    <row r="212" spans="1:7" x14ac:dyDescent="0.25">
      <c r="A212" s="288">
        <v>453</v>
      </c>
      <c r="B212" s="284" t="s">
        <v>480</v>
      </c>
      <c r="C212" s="289">
        <f>C213</f>
        <v>6000</v>
      </c>
      <c r="D212" s="289">
        <f>D213</f>
        <v>0</v>
      </c>
      <c r="E212" s="351">
        <f t="shared" si="23"/>
        <v>0</v>
      </c>
      <c r="F212" s="339"/>
      <c r="G212" s="339"/>
    </row>
    <row r="213" spans="1:7" x14ac:dyDescent="0.25">
      <c r="A213" s="309">
        <v>4531</v>
      </c>
      <c r="B213" s="310" t="s">
        <v>584</v>
      </c>
      <c r="C213" s="311">
        <v>6000</v>
      </c>
      <c r="D213" s="311">
        <v>0</v>
      </c>
      <c r="E213" s="352">
        <f t="shared" si="23"/>
        <v>0</v>
      </c>
      <c r="F213" s="339"/>
      <c r="G213" s="339"/>
    </row>
    <row r="214" spans="1:7" x14ac:dyDescent="0.25">
      <c r="A214" s="237">
        <v>43</v>
      </c>
      <c r="B214" s="237" t="s">
        <v>58</v>
      </c>
      <c r="C214" s="313">
        <f t="shared" ref="C214:D214" si="24">SUM(C215)</f>
        <v>26175</v>
      </c>
      <c r="D214" s="313">
        <f t="shared" si="24"/>
        <v>10256.459999999999</v>
      </c>
      <c r="E214" s="314">
        <f t="shared" ref="E214:E221" si="25">(D214/C214)*100</f>
        <v>39.184183381088822</v>
      </c>
      <c r="F214" s="339"/>
      <c r="G214" s="339"/>
    </row>
    <row r="215" spans="1:7" x14ac:dyDescent="0.25">
      <c r="A215" s="295">
        <v>4</v>
      </c>
      <c r="B215" s="334" t="s">
        <v>227</v>
      </c>
      <c r="C215" s="341">
        <f>C216+C219+C230</f>
        <v>26175</v>
      </c>
      <c r="D215" s="341">
        <f>D216+D219+D230</f>
        <v>10256.459999999999</v>
      </c>
      <c r="E215" s="342">
        <f t="shared" si="25"/>
        <v>39.184183381088822</v>
      </c>
      <c r="F215" s="339"/>
      <c r="G215" s="339"/>
    </row>
    <row r="216" spans="1:7" ht="16.5" customHeight="1" x14ac:dyDescent="0.25">
      <c r="A216" s="347">
        <v>41</v>
      </c>
      <c r="B216" s="348" t="s">
        <v>228</v>
      </c>
      <c r="C216" s="349">
        <f>C217</f>
        <v>8750</v>
      </c>
      <c r="D216" s="349">
        <f>D217</f>
        <v>6303.61</v>
      </c>
      <c r="E216" s="343">
        <f t="shared" si="25"/>
        <v>72.041257142857134</v>
      </c>
      <c r="F216" s="339"/>
      <c r="G216" s="339"/>
    </row>
    <row r="217" spans="1:7" x14ac:dyDescent="0.25">
      <c r="A217" s="288">
        <v>412</v>
      </c>
      <c r="B217" s="284" t="s">
        <v>230</v>
      </c>
      <c r="C217" s="289">
        <f>C218</f>
        <v>8750</v>
      </c>
      <c r="D217" s="289">
        <f>D218</f>
        <v>6303.61</v>
      </c>
      <c r="E217" s="350">
        <f t="shared" si="25"/>
        <v>72.041257142857134</v>
      </c>
      <c r="F217" s="339"/>
      <c r="G217" s="339"/>
    </row>
    <row r="218" spans="1:7" x14ac:dyDescent="0.25">
      <c r="A218" s="291">
        <v>4124</v>
      </c>
      <c r="B218" s="292" t="s">
        <v>348</v>
      </c>
      <c r="C218" s="293">
        <v>8750</v>
      </c>
      <c r="D218" s="293">
        <v>6303.61</v>
      </c>
      <c r="E218" s="351">
        <f t="shared" si="25"/>
        <v>72.041257142857134</v>
      </c>
      <c r="F218" s="339"/>
      <c r="G218" s="339"/>
    </row>
    <row r="219" spans="1:7" x14ac:dyDescent="0.25">
      <c r="A219" s="305">
        <v>42</v>
      </c>
      <c r="B219" s="306" t="s">
        <v>234</v>
      </c>
      <c r="C219" s="307">
        <f>C220+C226+C228</f>
        <v>17175</v>
      </c>
      <c r="D219" s="307">
        <f>SUM(D220)+D226+D228</f>
        <v>3952.8500000000004</v>
      </c>
      <c r="E219" s="345">
        <f t="shared" si="25"/>
        <v>23.015138282387191</v>
      </c>
      <c r="F219" s="339"/>
      <c r="G219" s="339"/>
    </row>
    <row r="220" spans="1:7" x14ac:dyDescent="0.25">
      <c r="A220" s="300">
        <v>422</v>
      </c>
      <c r="B220" s="301" t="s">
        <v>240</v>
      </c>
      <c r="C220" s="302">
        <f>C221+C222+C224+C225+C223</f>
        <v>10675</v>
      </c>
      <c r="D220" s="302">
        <f>SUM(D221)+D222+D223+D224+D225</f>
        <v>3529.34</v>
      </c>
      <c r="E220" s="350">
        <f t="shared" si="25"/>
        <v>33.061733021077281</v>
      </c>
      <c r="F220" s="339"/>
      <c r="G220" s="339"/>
    </row>
    <row r="221" spans="1:7" x14ac:dyDescent="0.25">
      <c r="A221" s="291">
        <v>4221</v>
      </c>
      <c r="B221" s="292" t="s">
        <v>242</v>
      </c>
      <c r="C221" s="293">
        <v>7375</v>
      </c>
      <c r="D221" s="293">
        <v>1759.75</v>
      </c>
      <c r="E221" s="351">
        <f t="shared" si="25"/>
        <v>23.861016949152543</v>
      </c>
      <c r="F221" s="339"/>
      <c r="G221" s="339"/>
    </row>
    <row r="222" spans="1:7" x14ac:dyDescent="0.25">
      <c r="A222" s="291">
        <v>4222</v>
      </c>
      <c r="B222" s="292" t="s">
        <v>437</v>
      </c>
      <c r="C222" s="293">
        <v>0</v>
      </c>
      <c r="D222" s="293">
        <v>0</v>
      </c>
      <c r="E222" s="351" t="e">
        <f t="shared" si="18"/>
        <v>#DIV/0!</v>
      </c>
      <c r="F222" s="339"/>
      <c r="G222" s="339"/>
    </row>
    <row r="223" spans="1:7" x14ac:dyDescent="0.25">
      <c r="A223" s="291">
        <v>4223</v>
      </c>
      <c r="B223" s="292" t="s">
        <v>439</v>
      </c>
      <c r="C223" s="293">
        <v>3300</v>
      </c>
      <c r="D223" s="293">
        <f>1275.84+493.75</f>
        <v>1769.59</v>
      </c>
      <c r="E223" s="351">
        <v>0</v>
      </c>
      <c r="F223" s="339"/>
      <c r="G223" s="339"/>
    </row>
    <row r="224" spans="1:7" x14ac:dyDescent="0.25">
      <c r="A224" s="291">
        <v>4225</v>
      </c>
      <c r="B224" s="292" t="s">
        <v>441</v>
      </c>
      <c r="C224" s="293">
        <v>0</v>
      </c>
      <c r="D224" s="293">
        <v>0</v>
      </c>
      <c r="E224" s="351" t="e">
        <f t="shared" si="18"/>
        <v>#DIV/0!</v>
      </c>
      <c r="F224" s="339"/>
      <c r="G224" s="339"/>
    </row>
    <row r="225" spans="1:7" x14ac:dyDescent="0.25">
      <c r="A225" s="291">
        <v>4227</v>
      </c>
      <c r="B225" s="292" t="s">
        <v>362</v>
      </c>
      <c r="C225" s="293">
        <v>0</v>
      </c>
      <c r="D225" s="293">
        <v>0</v>
      </c>
      <c r="E225" s="351" t="e">
        <f t="shared" si="18"/>
        <v>#DIV/0!</v>
      </c>
      <c r="F225" s="339"/>
      <c r="G225" s="339"/>
    </row>
    <row r="226" spans="1:7" x14ac:dyDescent="0.25">
      <c r="A226" s="288">
        <v>424</v>
      </c>
      <c r="B226" s="284" t="s">
        <v>583</v>
      </c>
      <c r="C226" s="289">
        <f>C227</f>
        <v>6250</v>
      </c>
      <c r="D226" s="289">
        <f>D227</f>
        <v>423.51</v>
      </c>
      <c r="E226" s="350">
        <f t="shared" si="18"/>
        <v>6.7761600000000008</v>
      </c>
      <c r="F226" s="339"/>
      <c r="G226" s="339"/>
    </row>
    <row r="227" spans="1:7" x14ac:dyDescent="0.25">
      <c r="A227" s="291">
        <v>4241</v>
      </c>
      <c r="B227" s="292" t="s">
        <v>451</v>
      </c>
      <c r="C227" s="293">
        <v>6250</v>
      </c>
      <c r="D227" s="293">
        <v>423.51</v>
      </c>
      <c r="E227" s="351">
        <f t="shared" si="18"/>
        <v>6.7761600000000008</v>
      </c>
      <c r="F227" s="339"/>
      <c r="G227" s="339"/>
    </row>
    <row r="228" spans="1:7" x14ac:dyDescent="0.25">
      <c r="A228" s="288">
        <v>426</v>
      </c>
      <c r="B228" s="284" t="s">
        <v>246</v>
      </c>
      <c r="C228" s="289">
        <f>C229</f>
        <v>250</v>
      </c>
      <c r="D228" s="289">
        <f>D229</f>
        <v>0</v>
      </c>
      <c r="E228" s="350">
        <f t="shared" si="18"/>
        <v>0</v>
      </c>
      <c r="F228" s="339"/>
      <c r="G228" s="339"/>
    </row>
    <row r="229" spans="1:7" x14ac:dyDescent="0.25">
      <c r="A229" s="291">
        <v>4262</v>
      </c>
      <c r="B229" s="292" t="s">
        <v>248</v>
      </c>
      <c r="C229" s="293">
        <v>250</v>
      </c>
      <c r="D229" s="293">
        <v>0</v>
      </c>
      <c r="E229" s="351">
        <f t="shared" si="18"/>
        <v>0</v>
      </c>
      <c r="F229" s="339"/>
      <c r="G229" s="339"/>
    </row>
    <row r="230" spans="1:7" ht="15.75" customHeight="1" x14ac:dyDescent="0.25">
      <c r="A230" s="285">
        <v>45</v>
      </c>
      <c r="B230" s="282" t="s">
        <v>250</v>
      </c>
      <c r="C230" s="286">
        <f>C231</f>
        <v>250</v>
      </c>
      <c r="D230" s="286">
        <f>D231</f>
        <v>0</v>
      </c>
      <c r="E230" s="351">
        <f t="shared" si="18"/>
        <v>0</v>
      </c>
      <c r="F230" s="339"/>
      <c r="G230" s="339"/>
    </row>
    <row r="231" spans="1:7" x14ac:dyDescent="0.25">
      <c r="A231" s="288">
        <v>453</v>
      </c>
      <c r="B231" s="284" t="s">
        <v>480</v>
      </c>
      <c r="C231" s="289">
        <f>C232</f>
        <v>250</v>
      </c>
      <c r="D231" s="289">
        <f>D232</f>
        <v>0</v>
      </c>
      <c r="E231" s="351">
        <f t="shared" si="18"/>
        <v>0</v>
      </c>
      <c r="F231" s="339"/>
      <c r="G231" s="339"/>
    </row>
    <row r="232" spans="1:7" x14ac:dyDescent="0.25">
      <c r="A232" s="309">
        <v>4531</v>
      </c>
      <c r="B232" s="310" t="s">
        <v>584</v>
      </c>
      <c r="C232" s="311">
        <v>250</v>
      </c>
      <c r="D232" s="311">
        <v>0</v>
      </c>
      <c r="E232" s="352">
        <f t="shared" si="18"/>
        <v>0</v>
      </c>
      <c r="F232" s="339"/>
      <c r="G232" s="339"/>
    </row>
    <row r="233" spans="1:7" x14ac:dyDescent="0.25">
      <c r="A233" s="234" t="s">
        <v>533</v>
      </c>
      <c r="B233" s="235" t="s">
        <v>588</v>
      </c>
      <c r="C233" s="236">
        <f>C234</f>
        <v>5000</v>
      </c>
      <c r="D233" s="236" t="e">
        <f>D234</f>
        <v>#REF!</v>
      </c>
      <c r="E233" s="236" t="e">
        <f>SUM(D233/C233*100)</f>
        <v>#REF!</v>
      </c>
      <c r="F233" s="339"/>
      <c r="G233" s="339"/>
    </row>
    <row r="234" spans="1:7" x14ac:dyDescent="0.25">
      <c r="A234" s="353">
        <v>52</v>
      </c>
      <c r="B234" s="353" t="s">
        <v>63</v>
      </c>
      <c r="C234" s="314">
        <f t="shared" ref="C234:D234" si="26">SUM(C235)</f>
        <v>5000</v>
      </c>
      <c r="D234" s="314" t="e">
        <f t="shared" si="26"/>
        <v>#REF!</v>
      </c>
      <c r="E234" s="314" t="e">
        <f t="shared" ref="E234:E235" si="27">(D234/C234)*100</f>
        <v>#REF!</v>
      </c>
      <c r="F234" s="339"/>
      <c r="G234" s="339"/>
    </row>
    <row r="235" spans="1:7" x14ac:dyDescent="0.25">
      <c r="A235" s="357">
        <v>4</v>
      </c>
      <c r="B235" s="358" t="s">
        <v>227</v>
      </c>
      <c r="C235" s="359">
        <f>C236</f>
        <v>5000</v>
      </c>
      <c r="D235" s="359" t="e">
        <f>D236+#REF!+#REF!</f>
        <v>#REF!</v>
      </c>
      <c r="E235" s="360" t="e">
        <f t="shared" si="27"/>
        <v>#REF!</v>
      </c>
      <c r="F235" s="339"/>
      <c r="G235" s="339"/>
    </row>
    <row r="236" spans="1:7" x14ac:dyDescent="0.25">
      <c r="A236" s="361">
        <v>42</v>
      </c>
      <c r="B236" s="362" t="s">
        <v>234</v>
      </c>
      <c r="C236" s="363">
        <f>C237</f>
        <v>5000</v>
      </c>
      <c r="D236" s="363">
        <v>0</v>
      </c>
      <c r="E236" s="364">
        <f>(D236/C236)*100</f>
        <v>0</v>
      </c>
      <c r="F236" s="339"/>
      <c r="G236" s="339"/>
    </row>
    <row r="237" spans="1:7" x14ac:dyDescent="0.25">
      <c r="A237" s="300">
        <v>422</v>
      </c>
      <c r="B237" s="301" t="s">
        <v>240</v>
      </c>
      <c r="C237" s="302">
        <f>C238+C239+C241+C242+C240</f>
        <v>5000</v>
      </c>
      <c r="D237" s="302">
        <f>SUM(D238)+D239+D240+D241+D242</f>
        <v>0</v>
      </c>
      <c r="E237" s="350">
        <f t="shared" ref="E237:E238" si="28">(D237/C237)*100</f>
        <v>0</v>
      </c>
      <c r="F237" s="339"/>
      <c r="G237" s="339"/>
    </row>
    <row r="238" spans="1:7" x14ac:dyDescent="0.25">
      <c r="A238" s="309">
        <v>4221</v>
      </c>
      <c r="B238" s="310" t="s">
        <v>242</v>
      </c>
      <c r="C238" s="311">
        <v>5000</v>
      </c>
      <c r="D238" s="311">
        <v>0</v>
      </c>
      <c r="E238" s="352">
        <f t="shared" si="28"/>
        <v>0</v>
      </c>
    </row>
  </sheetData>
  <mergeCells count="3">
    <mergeCell ref="A1:E1"/>
    <mergeCell ref="A2:E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II.POSEBNI DIO 08006</vt:lpstr>
      <vt:lpstr>'A.1 PRIHODI EK'!Print_Titles</vt:lpstr>
      <vt:lpstr>'A.1 RASHODI EK'!Print_Titles</vt:lpstr>
      <vt:lpstr>'A.2 PRIHODI I RASHODI IF'!Print_Titles</vt:lpstr>
      <vt:lpstr>'B.1 RAČUN FINANC EK'!Print_Titles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Ana Borzić</cp:lastModifiedBy>
  <cp:lastPrinted>2024-07-12T06:52:34Z</cp:lastPrinted>
  <dcterms:created xsi:type="dcterms:W3CDTF">2024-02-22T20:30:43Z</dcterms:created>
  <dcterms:modified xsi:type="dcterms:W3CDTF">2024-08-27T11:23:35Z</dcterms:modified>
</cp:coreProperties>
</file>